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drawings/drawing6.xml" ContentType="application/vnd.openxmlformats-officedocument.drawing+xml"/>
  <Override PartName="/xl/embeddings/oleObject4.bin" ContentType="application/vnd.openxmlformats-officedocument.oleObject"/>
  <Override PartName="/xl/drawings/drawing7.xml" ContentType="application/vnd.openxmlformats-officedocument.drawing+xml"/>
  <Override PartName="/xl/embeddings/oleObject5.bin" ContentType="application/vnd.openxmlformats-officedocument.oleObject"/>
  <Override PartName="/xl/drawings/drawing8.xml" ContentType="application/vnd.openxmlformats-officedocument.drawing+xml"/>
  <Override PartName="/xl/embeddings/oleObject6.bin" ContentType="application/vnd.openxmlformats-officedocument.oleObject"/>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workbookProtection workbookAlgorithmName="SHA-512" workbookHashValue="adTsKqXzxQYOEtq7GbYAJy1RswRZuPjPR0gL1q4qOpPGfU9AR3Ave83zW+yfgydE+YuFs1ilL2/b1yWwlxrIbg==" workbookSaltValue="Hz4ffqh90ltJod4XKnciTA==" workbookSpinCount="100000" lockStructure="1"/>
  <bookViews>
    <workbookView xWindow="0" yWindow="0" windowWidth="28800" windowHeight="11100"/>
  </bookViews>
  <sheets>
    <sheet name="Forside" sheetId="7" r:id="rId1"/>
    <sheet name="Beskrivelse" sheetId="8" r:id="rId2"/>
    <sheet name="Tiltag 1" sheetId="3" r:id="rId3"/>
    <sheet name="Tiltag 2" sheetId="11" r:id="rId4"/>
    <sheet name="Tiltag 3" sheetId="16" r:id="rId5"/>
    <sheet name="Tiltag 4" sheetId="33" r:id="rId6"/>
    <sheet name="Tiltag 5" sheetId="12" r:id="rId7"/>
    <sheet name="Tiltag 6" sheetId="13" r:id="rId8"/>
    <sheet name="Grise - regneark" sheetId="17" state="hidden" r:id="rId9"/>
    <sheet name="Nøgletal" sheetId="9" state="hidden" r:id="rId10"/>
    <sheet name="Forbrugsberegner 1" sheetId="2" state="hidden" r:id="rId11"/>
    <sheet name="Graddageberegner" sheetId="6" state="hidden" r:id="rId12"/>
    <sheet name="Virkningsgradsberegner 1" sheetId="5" state="hidden" r:id="rId13"/>
    <sheet name="Forbrugsberegner 2" sheetId="24" state="hidden" r:id="rId14"/>
    <sheet name="Virkningsgradsberegner 2" sheetId="25" state="hidden" r:id="rId15"/>
    <sheet name="Virkningsgradsberegner (2)" sheetId="28" state="hidden" r:id="rId16"/>
    <sheet name="Forbrugsberegner 5" sheetId="29" state="hidden" r:id="rId17"/>
    <sheet name="Virkningsgradsberegner 5" sheetId="30" state="hidden" r:id="rId18"/>
    <sheet name="Kalorifere" sheetId="10" state="hidden" r:id="rId19"/>
    <sheet name="Forbrugsberegner 3" sheetId="26" state="hidden" r:id="rId20"/>
    <sheet name="Virkningsgradsberegner 3" sheetId="27" state="hidden" r:id="rId21"/>
    <sheet name="Kyllinge - regneark" sheetId="34" state="hidden" r:id="rId22"/>
    <sheet name="Forbrugsberegner 4" sheetId="31" state="hidden" r:id="rId23"/>
    <sheet name="Virkningsgradsberegner 4" sheetId="32" state="hidden" r:id="rId24"/>
  </sheets>
  <externalReferences>
    <externalReference r:id="rId25"/>
    <externalReference r:id="rId26"/>
    <externalReference r:id="rId27"/>
  </externalReferences>
  <definedNames>
    <definedName name="_ftn1" localSheetId="9">Nøgletal!$H$15</definedName>
    <definedName name="_ftnref1" localSheetId="9">Nøgletal!$H$12</definedName>
    <definedName name="Branche">Graddageberegner!#REF!</definedName>
    <definedName name="Kedelliste">'Virkningsgradsberegner 1'!$M$13:$M$17</definedName>
    <definedName name="Manuel">Graddageberegner!$R$86:$R$187</definedName>
    <definedName name="Procesenergi">Graddageberegner!$S$86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11" l="1"/>
  <c r="O12" i="11"/>
  <c r="J19" i="13" l="1"/>
  <c r="J20" i="13"/>
  <c r="F20" i="13"/>
  <c r="F19" i="13"/>
  <c r="B20" i="13"/>
  <c r="B19" i="13"/>
  <c r="B3" i="13" l="1"/>
  <c r="G10" i="10" l="1"/>
  <c r="G9" i="10"/>
  <c r="G8" i="10"/>
  <c r="A4" i="2" l="1"/>
  <c r="A12" i="2"/>
  <c r="O19" i="33" l="1"/>
  <c r="O19" i="16"/>
  <c r="D50" i="31" l="1"/>
  <c r="D48" i="31"/>
  <c r="C23" i="3"/>
  <c r="B36" i="9" l="1"/>
  <c r="B30" i="9"/>
  <c r="E3" i="31" l="1"/>
  <c r="D3" i="31" s="1"/>
  <c r="Q19" i="16" l="1"/>
  <c r="O16" i="16"/>
  <c r="G86" i="2"/>
  <c r="E3" i="2" l="1"/>
  <c r="D3" i="2" l="1"/>
  <c r="M2" i="2" s="1"/>
  <c r="N90" i="31"/>
  <c r="C4" i="5" l="1"/>
  <c r="M10" i="5" s="1"/>
  <c r="E47" i="26"/>
  <c r="R8" i="33" l="1"/>
  <c r="R10" i="33"/>
  <c r="R11" i="33"/>
  <c r="R9" i="33"/>
  <c r="S11" i="16"/>
  <c r="J13" i="33" l="1"/>
  <c r="S9" i="16" l="1"/>
  <c r="S10" i="16"/>
  <c r="S8" i="16"/>
  <c r="O8" i="11"/>
  <c r="I13" i="16" l="1"/>
  <c r="C13" i="16" s="1"/>
  <c r="C81" i="2"/>
  <c r="C82" i="2" s="1"/>
  <c r="C30" i="17"/>
  <c r="C31" i="17"/>
  <c r="C32" i="17"/>
  <c r="E3" i="29" l="1"/>
  <c r="G21" i="33"/>
  <c r="B32" i="34"/>
  <c r="C32" i="34"/>
  <c r="B33" i="34"/>
  <c r="C33" i="34"/>
  <c r="B34" i="34"/>
  <c r="C34" i="34"/>
  <c r="S16" i="34"/>
  <c r="S15" i="34"/>
  <c r="C37" i="33"/>
  <c r="I39" i="33"/>
  <c r="I43" i="16"/>
  <c r="C102" i="24"/>
  <c r="C101" i="24"/>
  <c r="C101" i="31"/>
  <c r="C102" i="31"/>
  <c r="D4" i="26"/>
  <c r="C102" i="26"/>
  <c r="C101" i="26"/>
  <c r="J82" i="29"/>
  <c r="J83" i="29" s="1"/>
  <c r="E3" i="26"/>
  <c r="D3" i="26" s="1"/>
  <c r="Q16" i="16"/>
  <c r="D33" i="34" l="1"/>
  <c r="D34" i="34"/>
  <c r="D32" i="34"/>
  <c r="J37" i="33"/>
  <c r="C39" i="33"/>
  <c r="E39" i="33"/>
  <c r="C37" i="3"/>
  <c r="G7" i="10" l="1"/>
  <c r="E7" i="10"/>
  <c r="C7" i="10"/>
  <c r="D7" i="10" s="1"/>
  <c r="I44" i="3"/>
  <c r="H44" i="3"/>
  <c r="G44" i="3"/>
  <c r="F44" i="3"/>
  <c r="E44" i="3"/>
  <c r="D44" i="3"/>
  <c r="C44" i="3"/>
  <c r="B44" i="3"/>
  <c r="I43" i="3"/>
  <c r="H43" i="3"/>
  <c r="G43" i="3"/>
  <c r="F43" i="3"/>
  <c r="E43" i="3"/>
  <c r="D43" i="3"/>
  <c r="C43" i="3"/>
  <c r="B43" i="3"/>
  <c r="C33" i="11"/>
  <c r="B33" i="11"/>
  <c r="B37" i="3"/>
  <c r="O18" i="3"/>
  <c r="O23" i="10" l="1"/>
  <c r="O49" i="10"/>
  <c r="F7" i="10" s="1"/>
  <c r="B3" i="12"/>
  <c r="B2" i="33"/>
  <c r="B2" i="16"/>
  <c r="B3" i="11"/>
  <c r="E119" i="2" l="1"/>
  <c r="G6" i="10"/>
  <c r="E6" i="10"/>
  <c r="C6" i="10"/>
  <c r="M17" i="9"/>
  <c r="O17" i="9" s="1"/>
  <c r="Q44" i="9"/>
  <c r="F42" i="11"/>
  <c r="F39" i="11"/>
  <c r="N90" i="24"/>
  <c r="C32" i="11" l="1"/>
  <c r="C31" i="11"/>
  <c r="O18" i="9"/>
  <c r="O26" i="9"/>
  <c r="C34" i="3"/>
  <c r="C35" i="3"/>
  <c r="I34" i="3"/>
  <c r="I36" i="3"/>
  <c r="I35" i="3"/>
  <c r="C36" i="3"/>
  <c r="I30" i="11"/>
  <c r="I31" i="11"/>
  <c r="C30" i="11"/>
  <c r="C5" i="25" l="1"/>
  <c r="E55" i="24"/>
  <c r="E47" i="31"/>
  <c r="D47" i="31" l="1"/>
  <c r="C81" i="31"/>
  <c r="C5" i="32"/>
  <c r="C3" i="32"/>
  <c r="D4" i="31"/>
  <c r="T37" i="34" l="1"/>
  <c r="S37" i="34"/>
  <c r="N37" i="34"/>
  <c r="T36" i="34"/>
  <c r="S36" i="34"/>
  <c r="T35" i="34"/>
  <c r="S35" i="34"/>
  <c r="P35" i="34"/>
  <c r="N35" i="34"/>
  <c r="T34" i="34"/>
  <c r="S34" i="34"/>
  <c r="T33" i="34"/>
  <c r="S33" i="34"/>
  <c r="T32" i="34"/>
  <c r="S32" i="34"/>
  <c r="P32" i="34"/>
  <c r="N32" i="34"/>
  <c r="N27" i="34"/>
  <c r="P24" i="34"/>
  <c r="N24" i="34"/>
  <c r="S22" i="34"/>
  <c r="S20" i="34"/>
  <c r="P20" i="34"/>
  <c r="N20" i="34"/>
  <c r="H13" i="34"/>
  <c r="H12" i="34"/>
  <c r="H11" i="34"/>
  <c r="B37" i="33"/>
  <c r="G23" i="33"/>
  <c r="I23" i="33" s="1"/>
  <c r="G22" i="33"/>
  <c r="I21" i="33"/>
  <c r="I20" i="33"/>
  <c r="G20" i="33"/>
  <c r="F20" i="33"/>
  <c r="D20" i="33"/>
  <c r="O16" i="33"/>
  <c r="I22" i="33" l="1"/>
  <c r="I24" i="33" s="1"/>
  <c r="G24" i="33"/>
  <c r="C13" i="33"/>
  <c r="C90" i="32"/>
  <c r="K4" i="32"/>
  <c r="D20" i="32" s="1"/>
  <c r="C109" i="31"/>
  <c r="C108" i="31"/>
  <c r="C107" i="31"/>
  <c r="N88" i="31"/>
  <c r="N86" i="31"/>
  <c r="N85" i="31"/>
  <c r="N84" i="31"/>
  <c r="N83" i="31"/>
  <c r="N82" i="31"/>
  <c r="J82" i="31"/>
  <c r="J83" i="31" s="1"/>
  <c r="N81" i="31"/>
  <c r="O68" i="31"/>
  <c r="O67" i="31"/>
  <c r="O66" i="31"/>
  <c r="F48" i="31"/>
  <c r="Q2" i="31"/>
  <c r="R2" i="31" s="1"/>
  <c r="S34" i="31"/>
  <c r="O34" i="31"/>
  <c r="S33" i="31"/>
  <c r="O33" i="31"/>
  <c r="S32" i="31"/>
  <c r="O32" i="31"/>
  <c r="C17" i="31"/>
  <c r="D5" i="31" s="1"/>
  <c r="A12" i="31"/>
  <c r="AC5" i="31"/>
  <c r="AC6" i="31" s="1"/>
  <c r="F4" i="31"/>
  <c r="D12" i="31" s="1"/>
  <c r="A4" i="31"/>
  <c r="A64" i="31"/>
  <c r="C93" i="31" s="1"/>
  <c r="C5" i="30"/>
  <c r="D57" i="31" l="1"/>
  <c r="D58" i="31"/>
  <c r="I40" i="33" s="1"/>
  <c r="C4" i="32"/>
  <c r="C6" i="32" s="1"/>
  <c r="C82" i="31"/>
  <c r="C90" i="31"/>
  <c r="C103" i="31"/>
  <c r="D88" i="31"/>
  <c r="D82" i="31"/>
  <c r="C70" i="31"/>
  <c r="C96" i="31"/>
  <c r="C97" i="31" s="1"/>
  <c r="K5" i="31"/>
  <c r="D17" i="31"/>
  <c r="D49" i="31"/>
  <c r="S48" i="31" s="1"/>
  <c r="S8" i="31" s="1"/>
  <c r="D4" i="29"/>
  <c r="A64" i="29"/>
  <c r="C90" i="30"/>
  <c r="K4" i="30"/>
  <c r="C109" i="29"/>
  <c r="C108" i="29"/>
  <c r="C107" i="29"/>
  <c r="C102" i="29"/>
  <c r="C101" i="29"/>
  <c r="N90" i="29"/>
  <c r="N88" i="29"/>
  <c r="N86" i="29"/>
  <c r="N85" i="29"/>
  <c r="N84" i="29"/>
  <c r="N83" i="29"/>
  <c r="N82" i="29"/>
  <c r="N81" i="29"/>
  <c r="O68" i="29"/>
  <c r="O67" i="29"/>
  <c r="O66" i="29"/>
  <c r="E55" i="29"/>
  <c r="D50" i="29"/>
  <c r="D48" i="29"/>
  <c r="F48" i="29" s="1"/>
  <c r="D57" i="29" s="1"/>
  <c r="E47" i="29"/>
  <c r="C81" i="29" s="1"/>
  <c r="S34" i="29"/>
  <c r="O34" i="29"/>
  <c r="S33" i="29"/>
  <c r="O33" i="29"/>
  <c r="S32" i="29"/>
  <c r="O32" i="29"/>
  <c r="C17" i="29"/>
  <c r="D49" i="29" s="1"/>
  <c r="A12" i="29"/>
  <c r="AC5" i="29"/>
  <c r="AC6" i="29" s="1"/>
  <c r="A4" i="29"/>
  <c r="C90" i="28"/>
  <c r="C5" i="28"/>
  <c r="K4" i="28"/>
  <c r="F4" i="29" l="1"/>
  <c r="D12" i="29" s="1"/>
  <c r="C3" i="28"/>
  <c r="D20" i="28"/>
  <c r="D47" i="29"/>
  <c r="F55" i="29" s="1"/>
  <c r="Q2" i="29" s="1"/>
  <c r="R2" i="29" s="1"/>
  <c r="M2" i="31"/>
  <c r="N2" i="31" s="1"/>
  <c r="S57" i="31"/>
  <c r="S9" i="31" s="1"/>
  <c r="D73" i="31"/>
  <c r="D71" i="31"/>
  <c r="C71" i="31"/>
  <c r="C94" i="31"/>
  <c r="C98" i="31" s="1"/>
  <c r="D94" i="31"/>
  <c r="D98" i="31"/>
  <c r="O39" i="31"/>
  <c r="O7" i="31" s="1"/>
  <c r="O21" i="31"/>
  <c r="O48" i="31"/>
  <c r="O8" i="31" s="1"/>
  <c r="O64" i="31"/>
  <c r="O12" i="31"/>
  <c r="O4" i="31" s="1"/>
  <c r="O57" i="31"/>
  <c r="O9" i="31" s="1"/>
  <c r="O30" i="31"/>
  <c r="O6" i="31" s="1"/>
  <c r="S39" i="31"/>
  <c r="S7" i="31" s="1"/>
  <c r="S30" i="31"/>
  <c r="S6" i="31" s="1"/>
  <c r="S21" i="31"/>
  <c r="S12" i="31"/>
  <c r="S4" i="31" s="1"/>
  <c r="D5" i="29"/>
  <c r="D20" i="30"/>
  <c r="C103" i="29"/>
  <c r="D82" i="29"/>
  <c r="C82" i="29"/>
  <c r="C90" i="29"/>
  <c r="D88" i="29"/>
  <c r="S21" i="29"/>
  <c r="S57" i="29"/>
  <c r="S9" i="29" s="1"/>
  <c r="S12" i="29"/>
  <c r="S4" i="29" s="1"/>
  <c r="C93" i="29"/>
  <c r="C70" i="29"/>
  <c r="D58" i="29"/>
  <c r="C96" i="29"/>
  <c r="C97" i="29" s="1"/>
  <c r="D3" i="29"/>
  <c r="C4" i="28" s="1"/>
  <c r="M10" i="28" s="1"/>
  <c r="M13" i="28" s="1"/>
  <c r="K5" i="29"/>
  <c r="D17" i="29"/>
  <c r="C3" i="30"/>
  <c r="S48" i="29"/>
  <c r="S8" i="29" s="1"/>
  <c r="S30" i="29"/>
  <c r="S6" i="29" s="1"/>
  <c r="S39" i="29"/>
  <c r="S7" i="29" s="1"/>
  <c r="C5" i="27"/>
  <c r="C3" i="27"/>
  <c r="S2" i="31" l="1"/>
  <c r="F47" i="31" s="1"/>
  <c r="D53" i="31" s="1"/>
  <c r="D54" i="31" s="1"/>
  <c r="S2" i="29"/>
  <c r="M15" i="28"/>
  <c r="M14" i="28"/>
  <c r="M16" i="28"/>
  <c r="M17" i="28"/>
  <c r="M10" i="32"/>
  <c r="S10" i="31"/>
  <c r="S5" i="31"/>
  <c r="O5" i="31"/>
  <c r="O2" i="31" s="1"/>
  <c r="F3" i="31" s="1"/>
  <c r="D8" i="31" s="1"/>
  <c r="O10" i="31"/>
  <c r="O57" i="29"/>
  <c r="O9" i="29" s="1"/>
  <c r="O48" i="29"/>
  <c r="O8" i="29" s="1"/>
  <c r="O21" i="29"/>
  <c r="O64" i="29"/>
  <c r="O12" i="29"/>
  <c r="O4" i="29" s="1"/>
  <c r="O39" i="29"/>
  <c r="O7" i="29" s="1"/>
  <c r="O30" i="29"/>
  <c r="O6" i="29" s="1"/>
  <c r="D98" i="29"/>
  <c r="D94" i="29"/>
  <c r="C94" i="29"/>
  <c r="C98" i="29" s="1"/>
  <c r="D73" i="29"/>
  <c r="D71" i="29"/>
  <c r="C71" i="29"/>
  <c r="L13" i="28"/>
  <c r="M2" i="29"/>
  <c r="C4" i="30"/>
  <c r="S10" i="29"/>
  <c r="S5" i="29"/>
  <c r="C90" i="27"/>
  <c r="K4" i="27"/>
  <c r="D20" i="27" s="1"/>
  <c r="C109" i="26"/>
  <c r="C108" i="26"/>
  <c r="C107" i="26"/>
  <c r="N90" i="26"/>
  <c r="N88" i="26"/>
  <c r="N86" i="26"/>
  <c r="N85" i="26"/>
  <c r="N84" i="26"/>
  <c r="N83" i="26"/>
  <c r="N82" i="26"/>
  <c r="J82" i="26"/>
  <c r="J83" i="26" s="1"/>
  <c r="N81" i="26"/>
  <c r="O68" i="26"/>
  <c r="O67" i="26"/>
  <c r="O66" i="26"/>
  <c r="E55" i="26"/>
  <c r="D50" i="26"/>
  <c r="D48" i="26"/>
  <c r="F48" i="26" s="1"/>
  <c r="D57" i="26" s="1"/>
  <c r="C81" i="26"/>
  <c r="C103" i="26" s="1"/>
  <c r="H46" i="16" s="1"/>
  <c r="S34" i="26"/>
  <c r="O34" i="26"/>
  <c r="S33" i="26"/>
  <c r="O33" i="26"/>
  <c r="S32" i="26"/>
  <c r="O32" i="26"/>
  <c r="C17" i="26"/>
  <c r="D17" i="26" s="1"/>
  <c r="A12" i="26"/>
  <c r="AC5" i="26"/>
  <c r="AC6" i="26" s="1"/>
  <c r="F4" i="26"/>
  <c r="D12" i="26" s="1"/>
  <c r="A4" i="26"/>
  <c r="D50" i="24"/>
  <c r="D48" i="24"/>
  <c r="F48" i="24" s="1"/>
  <c r="D57" i="24" s="1"/>
  <c r="E47" i="24"/>
  <c r="C81" i="24" s="1"/>
  <c r="D4" i="24"/>
  <c r="C96" i="24" s="1"/>
  <c r="C97" i="24" s="1"/>
  <c r="E3" i="24"/>
  <c r="D3" i="24" s="1"/>
  <c r="C90" i="25"/>
  <c r="K4" i="25"/>
  <c r="D20" i="25" s="1"/>
  <c r="C109" i="24"/>
  <c r="C108" i="24"/>
  <c r="C107" i="24"/>
  <c r="N88" i="24"/>
  <c r="N86" i="24"/>
  <c r="N85" i="24"/>
  <c r="N84" i="24"/>
  <c r="N83" i="24"/>
  <c r="J83" i="24"/>
  <c r="N82" i="24"/>
  <c r="J82" i="24"/>
  <c r="N81" i="24"/>
  <c r="O68" i="24"/>
  <c r="O67" i="24"/>
  <c r="O66" i="24"/>
  <c r="S34" i="24"/>
  <c r="O34" i="24"/>
  <c r="S33" i="24"/>
  <c r="O33" i="24"/>
  <c r="S32" i="24"/>
  <c r="O32" i="24"/>
  <c r="C17" i="24"/>
  <c r="A12" i="24"/>
  <c r="AC5" i="24"/>
  <c r="AC6" i="24" s="1"/>
  <c r="A4" i="24"/>
  <c r="C5" i="5"/>
  <c r="D4" i="2"/>
  <c r="C6" i="28" s="1"/>
  <c r="C48" i="28" s="1"/>
  <c r="C87" i="28" s="1"/>
  <c r="D59" i="31" l="1"/>
  <c r="D49" i="24"/>
  <c r="S57" i="24" s="1"/>
  <c r="S9" i="24" s="1"/>
  <c r="D17" i="24"/>
  <c r="L14" i="28"/>
  <c r="L15" i="28" s="1"/>
  <c r="F47" i="29"/>
  <c r="D53" i="29" s="1"/>
  <c r="D54" i="29" s="1"/>
  <c r="D55" i="29" s="1"/>
  <c r="C3" i="5"/>
  <c r="C33" i="28"/>
  <c r="C86" i="28" s="1"/>
  <c r="C58" i="28"/>
  <c r="C88" i="28" s="1"/>
  <c r="C68" i="28"/>
  <c r="C89" i="28" s="1"/>
  <c r="C20" i="28"/>
  <c r="C85" i="28" s="1"/>
  <c r="D47" i="24"/>
  <c r="F4" i="24"/>
  <c r="D12" i="24" s="1"/>
  <c r="M14" i="32"/>
  <c r="M17" i="32"/>
  <c r="M13" i="32"/>
  <c r="C78" i="32" s="1"/>
  <c r="C91" i="32" s="1"/>
  <c r="M15" i="32"/>
  <c r="M16" i="32"/>
  <c r="O5" i="29"/>
  <c r="O10" i="29"/>
  <c r="C6" i="30"/>
  <c r="M10" i="30"/>
  <c r="O2" i="29"/>
  <c r="F3" i="29" s="1"/>
  <c r="D8" i="29" s="1"/>
  <c r="N2" i="29"/>
  <c r="M2" i="26"/>
  <c r="N2" i="26" s="1"/>
  <c r="A64" i="26"/>
  <c r="C93" i="26" s="1"/>
  <c r="D5" i="26"/>
  <c r="O48" i="26" s="1"/>
  <c r="O8" i="26" s="1"/>
  <c r="D49" i="26"/>
  <c r="D82" i="26"/>
  <c r="C82" i="26"/>
  <c r="C90" i="26"/>
  <c r="D88" i="26"/>
  <c r="D47" i="26"/>
  <c r="Q2" i="26" s="1"/>
  <c r="D58" i="26"/>
  <c r="C96" i="26"/>
  <c r="C97" i="26" s="1"/>
  <c r="K5" i="26"/>
  <c r="D5" i="24"/>
  <c r="C3" i="25"/>
  <c r="C4" i="25"/>
  <c r="M2" i="24"/>
  <c r="N2" i="24" s="1"/>
  <c r="A64" i="24"/>
  <c r="M6" i="9" s="1"/>
  <c r="O6" i="9" s="1"/>
  <c r="O7" i="9" s="1"/>
  <c r="C103" i="24"/>
  <c r="D82" i="24"/>
  <c r="C82" i="24"/>
  <c r="D88" i="24"/>
  <c r="C90" i="24"/>
  <c r="D58" i="24"/>
  <c r="K5" i="24"/>
  <c r="A64" i="2"/>
  <c r="A65" i="2" s="1"/>
  <c r="T37" i="17"/>
  <c r="S37" i="17"/>
  <c r="N37" i="17"/>
  <c r="T36" i="17"/>
  <c r="S36" i="17"/>
  <c r="T35" i="17"/>
  <c r="S35" i="17"/>
  <c r="P35" i="17"/>
  <c r="N35" i="17"/>
  <c r="T34" i="17"/>
  <c r="S34" i="17"/>
  <c r="T33" i="17"/>
  <c r="S33" i="17"/>
  <c r="T32" i="17"/>
  <c r="S32" i="17"/>
  <c r="P32" i="17"/>
  <c r="N32" i="17"/>
  <c r="N27" i="17"/>
  <c r="T25" i="17"/>
  <c r="S25" i="17"/>
  <c r="T24" i="17"/>
  <c r="S24" i="17"/>
  <c r="P24" i="17"/>
  <c r="N24" i="17"/>
  <c r="T23" i="17"/>
  <c r="S23" i="17"/>
  <c r="T22" i="17"/>
  <c r="S22" i="17"/>
  <c r="T21" i="17"/>
  <c r="S21" i="17"/>
  <c r="T20" i="17"/>
  <c r="S20" i="17"/>
  <c r="P20" i="17"/>
  <c r="N20" i="17"/>
  <c r="H13" i="17"/>
  <c r="H12" i="17"/>
  <c r="H11" i="17"/>
  <c r="C43" i="16"/>
  <c r="B43" i="16"/>
  <c r="I33" i="16"/>
  <c r="G33" i="16"/>
  <c r="E33" i="16"/>
  <c r="C33" i="16"/>
  <c r="E32" i="16"/>
  <c r="C32" i="16"/>
  <c r="E31" i="16"/>
  <c r="C31" i="16"/>
  <c r="C29" i="16"/>
  <c r="B29" i="16"/>
  <c r="J27" i="16"/>
  <c r="J26" i="16"/>
  <c r="I23" i="16"/>
  <c r="G23" i="16"/>
  <c r="G22" i="16"/>
  <c r="I22" i="16" s="1"/>
  <c r="G21" i="16"/>
  <c r="I21" i="16" s="1"/>
  <c r="I20" i="16"/>
  <c r="I30" i="16" s="1"/>
  <c r="G20" i="16"/>
  <c r="G30" i="16" s="1"/>
  <c r="E20" i="16"/>
  <c r="E30" i="16" s="1"/>
  <c r="C20" i="16"/>
  <c r="C30" i="16" s="1"/>
  <c r="D55" i="31" l="1"/>
  <c r="S48" i="24"/>
  <c r="S8" i="24" s="1"/>
  <c r="S21" i="24"/>
  <c r="S10" i="24" s="1"/>
  <c r="S30" i="24"/>
  <c r="S6" i="24" s="1"/>
  <c r="S12" i="24"/>
  <c r="S4" i="24" s="1"/>
  <c r="S39" i="24"/>
  <c r="S7" i="24" s="1"/>
  <c r="C91" i="28"/>
  <c r="L16" i="28"/>
  <c r="L17" i="28" s="1"/>
  <c r="D59" i="29"/>
  <c r="D60" i="29" s="1"/>
  <c r="D60" i="31"/>
  <c r="G31" i="16"/>
  <c r="I31" i="16" s="1"/>
  <c r="I24" i="16"/>
  <c r="G32" i="16"/>
  <c r="I32" i="16" s="1"/>
  <c r="C93" i="24"/>
  <c r="D94" i="24" s="1"/>
  <c r="C6" i="25"/>
  <c r="G24" i="16"/>
  <c r="C48" i="32"/>
  <c r="C87" i="32" s="1"/>
  <c r="C33" i="32"/>
  <c r="C86" i="32" s="1"/>
  <c r="C20" i="32"/>
  <c r="C85" i="32" s="1"/>
  <c r="C68" i="32"/>
  <c r="C89" i="32" s="1"/>
  <c r="L13" i="32"/>
  <c r="L14" i="32" s="1"/>
  <c r="C58" i="32"/>
  <c r="C88" i="32" s="1"/>
  <c r="M15" i="30"/>
  <c r="M14" i="30"/>
  <c r="M17" i="30"/>
  <c r="M13" i="30"/>
  <c r="C48" i="30" s="1"/>
  <c r="C87" i="30" s="1"/>
  <c r="M16" i="30"/>
  <c r="C4" i="27"/>
  <c r="C70" i="26"/>
  <c r="C71" i="26" s="1"/>
  <c r="O12" i="26"/>
  <c r="O4" i="26" s="1"/>
  <c r="O64" i="26"/>
  <c r="O21" i="26"/>
  <c r="O10" i="26" s="1"/>
  <c r="O57" i="26"/>
  <c r="O9" i="26" s="1"/>
  <c r="O39" i="26"/>
  <c r="O7" i="26" s="1"/>
  <c r="O30" i="26"/>
  <c r="O6" i="26" s="1"/>
  <c r="S21" i="26"/>
  <c r="S39" i="26"/>
  <c r="S7" i="26" s="1"/>
  <c r="S30" i="26"/>
  <c r="S6" i="26" s="1"/>
  <c r="S12" i="26"/>
  <c r="S4" i="26" s="1"/>
  <c r="S57" i="26"/>
  <c r="S9" i="26" s="1"/>
  <c r="S2" i="26" s="1"/>
  <c r="F47" i="26" s="1"/>
  <c r="D53" i="26" s="1"/>
  <c r="D54" i="26" s="1"/>
  <c r="D59" i="26" s="1"/>
  <c r="S48" i="26"/>
  <c r="S8" i="26" s="1"/>
  <c r="R2" i="26"/>
  <c r="D98" i="26"/>
  <c r="D94" i="26"/>
  <c r="C70" i="24"/>
  <c r="C71" i="24" s="1"/>
  <c r="M10" i="25"/>
  <c r="M14" i="25" s="1"/>
  <c r="O57" i="24"/>
  <c r="O9" i="24" s="1"/>
  <c r="O39" i="24"/>
  <c r="O7" i="24" s="1"/>
  <c r="O30" i="24"/>
  <c r="O6" i="24" s="1"/>
  <c r="O48" i="24"/>
  <c r="O8" i="24" s="1"/>
  <c r="O64" i="24"/>
  <c r="O21" i="24"/>
  <c r="O12" i="24"/>
  <c r="O4" i="24" s="1"/>
  <c r="D19" i="10"/>
  <c r="C19" i="10"/>
  <c r="B19" i="10"/>
  <c r="D18" i="10"/>
  <c r="C18" i="10"/>
  <c r="B18" i="10"/>
  <c r="E8" i="10"/>
  <c r="E10" i="10"/>
  <c r="E9" i="10"/>
  <c r="C10" i="10"/>
  <c r="C9" i="10"/>
  <c r="C8" i="10"/>
  <c r="J24" i="13"/>
  <c r="F24" i="13"/>
  <c r="B24" i="13"/>
  <c r="K23" i="13"/>
  <c r="G23" i="13"/>
  <c r="C23" i="13"/>
  <c r="K17" i="13"/>
  <c r="G17" i="13"/>
  <c r="C17" i="13"/>
  <c r="P10" i="13"/>
  <c r="P9" i="13"/>
  <c r="P8" i="13"/>
  <c r="S5" i="24" l="1"/>
  <c r="I34" i="16"/>
  <c r="G34" i="16"/>
  <c r="D73" i="26"/>
  <c r="C94" i="26"/>
  <c r="C98" i="26" s="1"/>
  <c r="C92" i="32"/>
  <c r="D98" i="24"/>
  <c r="C6" i="27"/>
  <c r="L15" i="32"/>
  <c r="L16" i="32" s="1"/>
  <c r="C58" i="30"/>
  <c r="C88" i="30" s="1"/>
  <c r="C33" i="30"/>
  <c r="C86" i="30" s="1"/>
  <c r="C20" i="30"/>
  <c r="C85" i="30" s="1"/>
  <c r="L13" i="30"/>
  <c r="C68" i="30"/>
  <c r="C89" i="30" s="1"/>
  <c r="M10" i="27"/>
  <c r="M16" i="27" s="1"/>
  <c r="D71" i="26"/>
  <c r="O5" i="26"/>
  <c r="O2" i="26" s="1"/>
  <c r="F3" i="26" s="1"/>
  <c r="D8" i="26" s="1"/>
  <c r="S5" i="26"/>
  <c r="S10" i="26"/>
  <c r="D60" i="26"/>
  <c r="D55" i="26"/>
  <c r="D73" i="24"/>
  <c r="C94" i="24"/>
  <c r="C98" i="24" s="1"/>
  <c r="D71" i="24"/>
  <c r="M16" i="25"/>
  <c r="M15" i="25"/>
  <c r="M13" i="25"/>
  <c r="M17" i="25"/>
  <c r="O10" i="24"/>
  <c r="O2" i="24" s="1"/>
  <c r="F3" i="24" s="1"/>
  <c r="D8" i="24" s="1"/>
  <c r="O5" i="24"/>
  <c r="I12" i="13"/>
  <c r="B12" i="13" s="1"/>
  <c r="D6" i="31" l="1"/>
  <c r="H13" i="31" s="1"/>
  <c r="L14" i="30"/>
  <c r="C58" i="25"/>
  <c r="C88" i="25" s="1"/>
  <c r="C48" i="25"/>
  <c r="C87" i="25" s="1"/>
  <c r="L17" i="32"/>
  <c r="C91" i="30"/>
  <c r="D6" i="29" s="1"/>
  <c r="I15" i="29" s="1"/>
  <c r="M15" i="27"/>
  <c r="M14" i="27"/>
  <c r="M13" i="27"/>
  <c r="C78" i="27" s="1"/>
  <c r="C91" i="27" s="1"/>
  <c r="M17" i="27"/>
  <c r="C68" i="25"/>
  <c r="C89" i="25" s="1"/>
  <c r="L13" i="25"/>
  <c r="L14" i="25" s="1"/>
  <c r="C33" i="25"/>
  <c r="C86" i="25" s="1"/>
  <c r="C20" i="25"/>
  <c r="C85" i="25" s="1"/>
  <c r="C26" i="3"/>
  <c r="C25" i="3"/>
  <c r="I14" i="31" l="1"/>
  <c r="K13" i="31"/>
  <c r="I13" i="31"/>
  <c r="J13" i="31"/>
  <c r="I15" i="31"/>
  <c r="J14" i="31"/>
  <c r="H14" i="31"/>
  <c r="D13" i="31"/>
  <c r="K14" i="31"/>
  <c r="J15" i="31"/>
  <c r="D9" i="31"/>
  <c r="F14" i="31" s="1"/>
  <c r="D14" i="31" s="1"/>
  <c r="K15" i="31"/>
  <c r="H15" i="31"/>
  <c r="L15" i="30"/>
  <c r="L16" i="30" s="1"/>
  <c r="L15" i="25"/>
  <c r="L16" i="25" s="1"/>
  <c r="C91" i="25"/>
  <c r="D6" i="24" s="1"/>
  <c r="I14" i="24" s="1"/>
  <c r="J13" i="29"/>
  <c r="J15" i="29"/>
  <c r="D9" i="29"/>
  <c r="F14" i="29" s="1"/>
  <c r="D14" i="29" s="1"/>
  <c r="H14" i="29"/>
  <c r="H13" i="29"/>
  <c r="J14" i="29"/>
  <c r="I13" i="29"/>
  <c r="K14" i="29"/>
  <c r="K13" i="29"/>
  <c r="K15" i="29"/>
  <c r="D13" i="29"/>
  <c r="H15" i="29"/>
  <c r="I14" i="29"/>
  <c r="L13" i="27"/>
  <c r="L14" i="27" s="1"/>
  <c r="L15" i="27" s="1"/>
  <c r="L16" i="27" s="1"/>
  <c r="C48" i="27"/>
  <c r="C87" i="27" s="1"/>
  <c r="C58" i="27"/>
  <c r="C88" i="27" s="1"/>
  <c r="C33" i="27"/>
  <c r="C86" i="27" s="1"/>
  <c r="C68" i="27"/>
  <c r="C89" i="27" s="1"/>
  <c r="C20" i="27"/>
  <c r="C85" i="27" s="1"/>
  <c r="A44" i="3"/>
  <c r="I42" i="3"/>
  <c r="H42" i="3"/>
  <c r="G42" i="3"/>
  <c r="F42" i="3"/>
  <c r="E42" i="3"/>
  <c r="D42" i="3"/>
  <c r="C42" i="3"/>
  <c r="B42" i="3"/>
  <c r="H32" i="33" l="1"/>
  <c r="D10" i="31"/>
  <c r="L17" i="30"/>
  <c r="L17" i="25"/>
  <c r="H14" i="24"/>
  <c r="K13" i="24"/>
  <c r="I15" i="24"/>
  <c r="K15" i="24"/>
  <c r="J14" i="24"/>
  <c r="J15" i="24"/>
  <c r="K14" i="24"/>
  <c r="D9" i="24"/>
  <c r="F14" i="24" s="1"/>
  <c r="D14" i="24" s="1"/>
  <c r="I13" i="24"/>
  <c r="H13" i="24"/>
  <c r="J13" i="24"/>
  <c r="H15" i="24"/>
  <c r="D13" i="24"/>
  <c r="C92" i="27"/>
  <c r="D6" i="26" s="1"/>
  <c r="J13" i="26" s="1"/>
  <c r="D15" i="31"/>
  <c r="D10" i="29"/>
  <c r="D15" i="29"/>
  <c r="L17" i="27"/>
  <c r="C90" i="5"/>
  <c r="O17" i="33" l="1"/>
  <c r="O20" i="33"/>
  <c r="D15" i="24"/>
  <c r="D10" i="24"/>
  <c r="D9" i="26"/>
  <c r="F14" i="26" s="1"/>
  <c r="H15" i="26"/>
  <c r="J15" i="26"/>
  <c r="J14" i="26"/>
  <c r="D13" i="26"/>
  <c r="K15" i="26"/>
  <c r="H13" i="26"/>
  <c r="I13" i="26"/>
  <c r="I14" i="26"/>
  <c r="H14" i="26"/>
  <c r="K14" i="26"/>
  <c r="K13" i="26"/>
  <c r="I15" i="26"/>
  <c r="C108" i="2"/>
  <c r="C107" i="2"/>
  <c r="C109" i="2"/>
  <c r="O32" i="9"/>
  <c r="O33" i="9" s="1"/>
  <c r="O38" i="9"/>
  <c r="O37" i="9"/>
  <c r="I32" i="9"/>
  <c r="I29" i="9" s="1"/>
  <c r="I31" i="9"/>
  <c r="O45" i="9"/>
  <c r="O44" i="9"/>
  <c r="O43" i="9"/>
  <c r="R13" i="9"/>
  <c r="R10" i="9"/>
  <c r="O22" i="33" l="1"/>
  <c r="D14" i="26"/>
  <c r="G40" i="16" s="1"/>
  <c r="D10" i="26"/>
  <c r="I30" i="9"/>
  <c r="I33" i="9" s="1"/>
  <c r="P24" i="9"/>
  <c r="P18" i="9"/>
  <c r="O39" i="9"/>
  <c r="G32" i="11" s="1"/>
  <c r="Y37" i="12"/>
  <c r="C18" i="12"/>
  <c r="O10" i="12"/>
  <c r="O9" i="12"/>
  <c r="O8" i="12"/>
  <c r="Q17" i="16" l="1"/>
  <c r="Q20" i="16" s="1"/>
  <c r="D15" i="26"/>
  <c r="O17" i="16"/>
  <c r="O20" i="16" s="1"/>
  <c r="I11" i="12"/>
  <c r="G19" i="12" s="1"/>
  <c r="O22" i="16" l="1"/>
  <c r="Q22" i="16"/>
  <c r="B11" i="12"/>
  <c r="I16" i="9"/>
  <c r="I17" i="9"/>
  <c r="I14" i="9" s="1"/>
  <c r="C32" i="9" s="1"/>
  <c r="C30" i="9" s="1"/>
  <c r="J52" i="11"/>
  <c r="I36" i="11"/>
  <c r="J49" i="11"/>
  <c r="J36" i="11"/>
  <c r="C26" i="11"/>
  <c r="O13" i="11"/>
  <c r="O10" i="11"/>
  <c r="O9" i="11"/>
  <c r="C33" i="9" l="1"/>
  <c r="I15" i="9"/>
  <c r="I18" i="9" s="1"/>
  <c r="O13" i="9" s="1"/>
  <c r="B32" i="11"/>
  <c r="B31" i="11"/>
  <c r="J51" i="11"/>
  <c r="B30" i="11"/>
  <c r="I14" i="11"/>
  <c r="I32" i="11"/>
  <c r="J50" i="11"/>
  <c r="O15" i="3"/>
  <c r="G87" i="10"/>
  <c r="U86" i="10"/>
  <c r="I86" i="10"/>
  <c r="G86" i="10"/>
  <c r="U85" i="10"/>
  <c r="I85" i="10"/>
  <c r="G85" i="10"/>
  <c r="U84" i="10"/>
  <c r="I84" i="10"/>
  <c r="G84" i="10"/>
  <c r="U83" i="10"/>
  <c r="I83" i="10"/>
  <c r="G83" i="10"/>
  <c r="U82" i="10"/>
  <c r="I82" i="10"/>
  <c r="G82" i="10"/>
  <c r="U81" i="10"/>
  <c r="I81" i="10"/>
  <c r="G81" i="10"/>
  <c r="U80" i="10"/>
  <c r="I80" i="10"/>
  <c r="G80" i="10"/>
  <c r="U79" i="10"/>
  <c r="I79" i="10"/>
  <c r="G79" i="10"/>
  <c r="U78" i="10"/>
  <c r="I78" i="10"/>
  <c r="G78" i="10"/>
  <c r="U77" i="10"/>
  <c r="I77" i="10"/>
  <c r="G77" i="10"/>
  <c r="U76" i="10"/>
  <c r="I76" i="10"/>
  <c r="G76" i="10"/>
  <c r="U75" i="10"/>
  <c r="I75" i="10"/>
  <c r="G75" i="10"/>
  <c r="U74" i="10"/>
  <c r="I74" i="10"/>
  <c r="G74" i="10"/>
  <c r="U73" i="10"/>
  <c r="I73" i="10"/>
  <c r="G73" i="10"/>
  <c r="U72" i="10"/>
  <c r="I72" i="10"/>
  <c r="G72" i="10"/>
  <c r="U71" i="10"/>
  <c r="I71" i="10"/>
  <c r="G71" i="10"/>
  <c r="U70" i="10"/>
  <c r="I70" i="10"/>
  <c r="G70" i="10"/>
  <c r="U69" i="10"/>
  <c r="I69" i="10"/>
  <c r="G69" i="10"/>
  <c r="U68" i="10"/>
  <c r="I68" i="10"/>
  <c r="G68" i="10"/>
  <c r="U67" i="10"/>
  <c r="I67" i="10"/>
  <c r="G67" i="10"/>
  <c r="U66" i="10"/>
  <c r="I66" i="10"/>
  <c r="G66" i="10"/>
  <c r="U65" i="10"/>
  <c r="I65" i="10"/>
  <c r="G65" i="10"/>
  <c r="U64" i="10"/>
  <c r="I64" i="10"/>
  <c r="G64" i="10"/>
  <c r="U63" i="10"/>
  <c r="I63" i="10"/>
  <c r="G63" i="10"/>
  <c r="U62" i="10"/>
  <c r="I62" i="10"/>
  <c r="G62" i="10"/>
  <c r="U61" i="10"/>
  <c r="I61" i="10"/>
  <c r="G61" i="10"/>
  <c r="U60" i="10"/>
  <c r="I60" i="10"/>
  <c r="G60" i="10"/>
  <c r="U59" i="10"/>
  <c r="I59" i="10"/>
  <c r="G59" i="10"/>
  <c r="U58" i="10"/>
  <c r="I58" i="10"/>
  <c r="G58" i="10"/>
  <c r="U57" i="10"/>
  <c r="I57" i="10"/>
  <c r="G57" i="10"/>
  <c r="U56" i="10"/>
  <c r="I56" i="10"/>
  <c r="G56" i="10"/>
  <c r="U55" i="10"/>
  <c r="I55" i="10"/>
  <c r="G55" i="10"/>
  <c r="U54" i="10"/>
  <c r="I54" i="10"/>
  <c r="G54" i="10"/>
  <c r="U53" i="10"/>
  <c r="I53" i="10"/>
  <c r="G53" i="10"/>
  <c r="B53" i="10"/>
  <c r="U52" i="10"/>
  <c r="I52" i="10"/>
  <c r="G52" i="10"/>
  <c r="U51" i="10"/>
  <c r="I51" i="10"/>
  <c r="G51" i="10"/>
  <c r="U50" i="10"/>
  <c r="N50" i="10"/>
  <c r="N52" i="10" s="1"/>
  <c r="I50" i="10"/>
  <c r="G50" i="10"/>
  <c r="U49" i="10"/>
  <c r="I49" i="10"/>
  <c r="G49" i="10"/>
  <c r="U48" i="10"/>
  <c r="I48" i="10"/>
  <c r="G48" i="10"/>
  <c r="U47" i="10"/>
  <c r="I47" i="10"/>
  <c r="G47" i="10"/>
  <c r="U46" i="10"/>
  <c r="I46" i="10"/>
  <c r="G46" i="10"/>
  <c r="U45" i="10"/>
  <c r="I45" i="10"/>
  <c r="G45" i="10"/>
  <c r="U44" i="10"/>
  <c r="I44" i="10"/>
  <c r="G44" i="10"/>
  <c r="U43" i="10"/>
  <c r="I43" i="10"/>
  <c r="G43" i="10"/>
  <c r="U42" i="10"/>
  <c r="I42" i="10"/>
  <c r="G42" i="10"/>
  <c r="U41" i="10"/>
  <c r="I41" i="10"/>
  <c r="G41" i="10"/>
  <c r="U40" i="10"/>
  <c r="I40" i="10"/>
  <c r="G40" i="10"/>
  <c r="U39" i="10"/>
  <c r="R39" i="10"/>
  <c r="I39" i="10"/>
  <c r="G39" i="10"/>
  <c r="U38" i="10"/>
  <c r="I38" i="10"/>
  <c r="G38" i="10"/>
  <c r="U37" i="10"/>
  <c r="I37" i="10"/>
  <c r="G37" i="10"/>
  <c r="U36" i="10"/>
  <c r="W83" i="10" s="1"/>
  <c r="O28" i="10"/>
  <c r="N28" i="10"/>
  <c r="H87" i="10" s="1"/>
  <c r="C28" i="10"/>
  <c r="O27" i="10"/>
  <c r="O26" i="10"/>
  <c r="F14" i="10" s="1"/>
  <c r="O25" i="10"/>
  <c r="F13" i="10" s="1"/>
  <c r="D14" i="10"/>
  <c r="D13" i="10"/>
  <c r="Z12" i="10"/>
  <c r="D12" i="10"/>
  <c r="D11" i="10"/>
  <c r="D10" i="10"/>
  <c r="D9" i="10"/>
  <c r="D8" i="10"/>
  <c r="O46" i="10" s="1"/>
  <c r="W66" i="10" l="1"/>
  <c r="V81" i="10"/>
  <c r="V64" i="10"/>
  <c r="V38" i="10"/>
  <c r="V40" i="10"/>
  <c r="I35" i="9"/>
  <c r="I36" i="9" s="1"/>
  <c r="V52" i="10"/>
  <c r="W44" i="10"/>
  <c r="W46" i="10"/>
  <c r="W74" i="10"/>
  <c r="W40" i="10"/>
  <c r="V82" i="10"/>
  <c r="W37" i="10"/>
  <c r="W65" i="10"/>
  <c r="V39" i="10"/>
  <c r="W41" i="10"/>
  <c r="V51" i="10"/>
  <c r="W82" i="10"/>
  <c r="V36" i="10"/>
  <c r="E67" i="10" s="1"/>
  <c r="W36" i="10"/>
  <c r="V43" i="10"/>
  <c r="W45" i="10"/>
  <c r="W47" i="10"/>
  <c r="V73" i="10"/>
  <c r="H70" i="10"/>
  <c r="P11" i="10"/>
  <c r="P17" i="10"/>
  <c r="H44" i="10"/>
  <c r="H46" i="10"/>
  <c r="H86" i="10"/>
  <c r="H48" i="10"/>
  <c r="H52" i="10"/>
  <c r="H40" i="10"/>
  <c r="H45" i="10"/>
  <c r="H78" i="10"/>
  <c r="P13" i="10"/>
  <c r="M66" i="10"/>
  <c r="H39" i="10"/>
  <c r="H47" i="10"/>
  <c r="O22" i="10"/>
  <c r="O48" i="10"/>
  <c r="O21" i="10"/>
  <c r="O20" i="10"/>
  <c r="F8" i="10" s="1"/>
  <c r="I24" i="3"/>
  <c r="C21" i="3"/>
  <c r="B14" i="11"/>
  <c r="AA21" i="10"/>
  <c r="N57" i="10"/>
  <c r="V63" i="10"/>
  <c r="W64" i="10"/>
  <c r="E66" i="10"/>
  <c r="H69" i="10"/>
  <c r="V72" i="10"/>
  <c r="W73" i="10"/>
  <c r="E75" i="10"/>
  <c r="H77" i="10"/>
  <c r="V80" i="10"/>
  <c r="W81" i="10"/>
  <c r="H85" i="10"/>
  <c r="N55" i="10"/>
  <c r="N60" i="10"/>
  <c r="P14" i="10"/>
  <c r="AA22" i="10"/>
  <c r="V37" i="10"/>
  <c r="W38" i="10"/>
  <c r="W39" i="10"/>
  <c r="H43" i="10"/>
  <c r="O47" i="10"/>
  <c r="V49" i="10"/>
  <c r="V50" i="10"/>
  <c r="W51" i="10"/>
  <c r="W52" i="10"/>
  <c r="V53" i="10"/>
  <c r="V54" i="10"/>
  <c r="V55" i="10"/>
  <c r="V56" i="10"/>
  <c r="V57" i="10"/>
  <c r="V58" i="10"/>
  <c r="V59" i="10"/>
  <c r="V60" i="10"/>
  <c r="V61" i="10"/>
  <c r="V62" i="10"/>
  <c r="W63" i="10"/>
  <c r="E65" i="10"/>
  <c r="H68" i="10"/>
  <c r="V71" i="10"/>
  <c r="W72" i="10"/>
  <c r="E74" i="10"/>
  <c r="H76" i="10"/>
  <c r="V79" i="10"/>
  <c r="W80" i="10"/>
  <c r="E82" i="10"/>
  <c r="H84" i="10"/>
  <c r="N59" i="10"/>
  <c r="P12" i="10"/>
  <c r="P15" i="10"/>
  <c r="E39" i="10"/>
  <c r="H42" i="10"/>
  <c r="V48" i="10"/>
  <c r="W49" i="10"/>
  <c r="W50" i="10"/>
  <c r="E52" i="10"/>
  <c r="W53" i="10"/>
  <c r="W54" i="10"/>
  <c r="W55" i="10"/>
  <c r="W56" i="10"/>
  <c r="W57" i="10"/>
  <c r="W58" i="10"/>
  <c r="W59" i="10"/>
  <c r="W60" i="10"/>
  <c r="W61" i="10"/>
  <c r="W62" i="10"/>
  <c r="H66" i="10"/>
  <c r="H67" i="10"/>
  <c r="V70" i="10"/>
  <c r="W71" i="10"/>
  <c r="E73" i="10"/>
  <c r="H75" i="10"/>
  <c r="V78" i="10"/>
  <c r="W79" i="10"/>
  <c r="E81" i="10"/>
  <c r="H83" i="10"/>
  <c r="V86" i="10"/>
  <c r="P16" i="10"/>
  <c r="E38" i="10"/>
  <c r="H41" i="10"/>
  <c r="V44" i="10"/>
  <c r="V45" i="10"/>
  <c r="V46" i="10"/>
  <c r="V47" i="10"/>
  <c r="W48" i="10"/>
  <c r="E50" i="10"/>
  <c r="E51" i="10"/>
  <c r="E53" i="10"/>
  <c r="E54" i="10"/>
  <c r="E56" i="10"/>
  <c r="E57" i="10"/>
  <c r="E58" i="10"/>
  <c r="E59" i="10"/>
  <c r="E60" i="10"/>
  <c r="E61" i="10"/>
  <c r="E62" i="10"/>
  <c r="H65" i="10"/>
  <c r="V69" i="10"/>
  <c r="W70" i="10"/>
  <c r="E72" i="10"/>
  <c r="H74" i="10"/>
  <c r="V77" i="10"/>
  <c r="W78" i="10"/>
  <c r="H82" i="10"/>
  <c r="V85" i="10"/>
  <c r="W86" i="10"/>
  <c r="N54" i="10"/>
  <c r="N62" i="10"/>
  <c r="H64" i="10"/>
  <c r="V68" i="10"/>
  <c r="W69" i="10"/>
  <c r="E71" i="10"/>
  <c r="H73" i="10"/>
  <c r="V76" i="10"/>
  <c r="W77" i="10"/>
  <c r="E79" i="10"/>
  <c r="H81" i="10"/>
  <c r="V84" i="10"/>
  <c r="W85" i="10"/>
  <c r="E87" i="10"/>
  <c r="N53" i="10"/>
  <c r="N56" i="10"/>
  <c r="N58" i="10"/>
  <c r="N61" i="10"/>
  <c r="H38" i="10"/>
  <c r="V42" i="10"/>
  <c r="W43" i="10"/>
  <c r="E45" i="10"/>
  <c r="E46" i="10"/>
  <c r="E47" i="10"/>
  <c r="E48" i="10"/>
  <c r="H50" i="10"/>
  <c r="H51" i="10"/>
  <c r="H53" i="10"/>
  <c r="H54" i="10"/>
  <c r="H55" i="10"/>
  <c r="H56" i="10"/>
  <c r="H57" i="10"/>
  <c r="H58" i="10"/>
  <c r="H59" i="10"/>
  <c r="H60" i="10"/>
  <c r="H61" i="10"/>
  <c r="H62" i="10"/>
  <c r="H63" i="10"/>
  <c r="V67" i="10"/>
  <c r="W68" i="10"/>
  <c r="E70" i="10"/>
  <c r="H72" i="10"/>
  <c r="V75" i="10"/>
  <c r="W76" i="10"/>
  <c r="E78" i="10"/>
  <c r="H80" i="10"/>
  <c r="V83" i="10"/>
  <c r="W84" i="10"/>
  <c r="E86" i="10"/>
  <c r="H37" i="10"/>
  <c r="V41" i="10"/>
  <c r="W42" i="10"/>
  <c r="E44" i="10"/>
  <c r="H49" i="10"/>
  <c r="V65" i="10"/>
  <c r="V66" i="10"/>
  <c r="W67" i="10"/>
  <c r="E69" i="10"/>
  <c r="H71" i="10"/>
  <c r="V74" i="10"/>
  <c r="W75" i="10"/>
  <c r="E77" i="10"/>
  <c r="H79" i="10"/>
  <c r="N88" i="2"/>
  <c r="N82" i="2"/>
  <c r="N83" i="2"/>
  <c r="N84" i="2"/>
  <c r="N85" i="2"/>
  <c r="N86" i="2"/>
  <c r="N81" i="2"/>
  <c r="F9" i="10" l="1"/>
  <c r="F10" i="10"/>
  <c r="E83" i="10"/>
  <c r="E85" i="10"/>
  <c r="E76" i="10"/>
  <c r="E42" i="10"/>
  <c r="E68" i="10"/>
  <c r="E37" i="10"/>
  <c r="E49" i="10"/>
  <c r="E43" i="10"/>
  <c r="E84" i="10"/>
  <c r="E80" i="10"/>
  <c r="E63" i="10"/>
  <c r="E55" i="10"/>
  <c r="E64" i="10"/>
  <c r="E40" i="10"/>
  <c r="E41" i="10"/>
  <c r="C16" i="9"/>
  <c r="C29" i="3"/>
  <c r="C30" i="3"/>
  <c r="K24" i="13" l="1"/>
  <c r="G24" i="13"/>
  <c r="C17" i="9"/>
  <c r="C14" i="9" s="1"/>
  <c r="C15" i="9" s="1"/>
  <c r="J28" i="3"/>
  <c r="C18" i="9" l="1"/>
  <c r="B14" i="6"/>
  <c r="B15" i="6" s="1"/>
  <c r="O10" i="3" l="1"/>
  <c r="O9" i="3"/>
  <c r="O11" i="3"/>
  <c r="B3" i="3" l="1"/>
  <c r="N90" i="2" l="1"/>
  <c r="E47" i="2" l="1"/>
  <c r="E55" i="2"/>
  <c r="D47" i="2" l="1"/>
  <c r="F78" i="2"/>
  <c r="K4" i="5" l="1"/>
  <c r="I26" i="3" l="1"/>
  <c r="C17" i="2"/>
  <c r="D5" i="2" s="1"/>
  <c r="J82" i="2"/>
  <c r="D17" i="2" l="1"/>
  <c r="J83" i="2"/>
  <c r="F75" i="2"/>
  <c r="O4" i="8"/>
  <c r="J44" i="3" l="1"/>
  <c r="B2" i="8" l="1"/>
  <c r="C19" i="3" l="1"/>
  <c r="O68" i="2" l="1"/>
  <c r="O67" i="2"/>
  <c r="O66" i="2"/>
  <c r="B24" i="6" l="1"/>
  <c r="I25" i="3"/>
  <c r="B26" i="6" l="1"/>
  <c r="T27" i="3"/>
  <c r="B25" i="6"/>
  <c r="C14" i="6"/>
  <c r="C15" i="6"/>
  <c r="C13" i="6"/>
  <c r="C18" i="6" l="1"/>
  <c r="B11" i="6"/>
  <c r="C12" i="6"/>
  <c r="O8" i="3"/>
  <c r="I12" i="3" s="1"/>
  <c r="J41" i="3" l="1"/>
  <c r="B35" i="3" l="1"/>
  <c r="B36" i="3"/>
  <c r="J42" i="3"/>
  <c r="J43" i="3"/>
  <c r="B34" i="3"/>
  <c r="C101" i="2"/>
  <c r="D6" i="10" l="1"/>
  <c r="E31" i="10" s="1"/>
  <c r="C96" i="2"/>
  <c r="O19" i="10" l="1"/>
  <c r="P19" i="10"/>
  <c r="AA20" i="10"/>
  <c r="C24" i="13" s="1"/>
  <c r="O45" i="10"/>
  <c r="D20" i="5"/>
  <c r="F6" i="10" l="1"/>
  <c r="C67" i="2" s="1"/>
  <c r="B14" i="24"/>
  <c r="B16" i="24" s="1"/>
  <c r="M20" i="9" s="1"/>
  <c r="I20" i="9" s="1"/>
  <c r="M14" i="5"/>
  <c r="L14" i="5" s="1"/>
  <c r="C70" i="2"/>
  <c r="C93" i="2"/>
  <c r="O30" i="9"/>
  <c r="O34" i="9" s="1"/>
  <c r="O29" i="9"/>
  <c r="C6" i="5"/>
  <c r="C48" i="5" s="1"/>
  <c r="C87" i="5" s="1"/>
  <c r="O32" i="2"/>
  <c r="M15" i="5" l="1"/>
  <c r="M17" i="5"/>
  <c r="L17" i="5" s="1"/>
  <c r="M13" i="5"/>
  <c r="L13" i="5" s="1"/>
  <c r="M16" i="5"/>
  <c r="L16" i="5" s="1"/>
  <c r="C71" i="2"/>
  <c r="C94" i="2"/>
  <c r="P9" i="9"/>
  <c r="P7" i="9"/>
  <c r="P34" i="9"/>
  <c r="P30" i="9"/>
  <c r="C102" i="2"/>
  <c r="C103" i="2" s="1"/>
  <c r="O11" i="9" l="1"/>
  <c r="L15" i="5"/>
  <c r="C68" i="5"/>
  <c r="C89" i="5" s="1"/>
  <c r="C58" i="5"/>
  <c r="C88" i="5" s="1"/>
  <c r="C20" i="5"/>
  <c r="C85" i="5" s="1"/>
  <c r="C33" i="5"/>
  <c r="C86" i="5" s="1"/>
  <c r="G36" i="3"/>
  <c r="Y38" i="3"/>
  <c r="D50" i="2"/>
  <c r="S34" i="2"/>
  <c r="S33" i="2"/>
  <c r="S32" i="2"/>
  <c r="D48" i="2"/>
  <c r="I21" i="9" l="1"/>
  <c r="O9" i="9" s="1"/>
  <c r="C91" i="5"/>
  <c r="D6" i="2" s="1"/>
  <c r="H13" i="2" s="1"/>
  <c r="F48" i="2"/>
  <c r="D57" i="2" s="1"/>
  <c r="C97" i="2"/>
  <c r="F4" i="2"/>
  <c r="D12" i="2" s="1"/>
  <c r="O64" i="2"/>
  <c r="O21" i="2"/>
  <c r="Q2" i="2"/>
  <c r="R2" i="2" s="1"/>
  <c r="O12" i="2"/>
  <c r="O4" i="2" s="1"/>
  <c r="D49" i="2"/>
  <c r="S21" i="2" s="1"/>
  <c r="D13" i="2" l="1"/>
  <c r="D58" i="2"/>
  <c r="D98" i="2"/>
  <c r="D94" i="2"/>
  <c r="D71" i="2"/>
  <c r="D8" i="6" s="1"/>
  <c r="C98" i="2"/>
  <c r="D88" i="2"/>
  <c r="D73" i="2"/>
  <c r="C8" i="6"/>
  <c r="C26" i="6" s="1"/>
  <c r="C7" i="6"/>
  <c r="C90" i="2"/>
  <c r="D82" i="2"/>
  <c r="S5" i="2"/>
  <c r="S10" i="2"/>
  <c r="S57" i="2"/>
  <c r="S9" i="2" s="1"/>
  <c r="S48" i="2"/>
  <c r="S8" i="2" s="1"/>
  <c r="S39" i="2"/>
  <c r="S7" i="2" s="1"/>
  <c r="S30" i="2"/>
  <c r="S6" i="2" s="1"/>
  <c r="S12" i="2"/>
  <c r="S4" i="2" s="1"/>
  <c r="C24" i="6" l="1"/>
  <c r="C25" i="6"/>
  <c r="B12" i="3" l="1"/>
  <c r="C73" i="31" l="1"/>
  <c r="C73" i="29"/>
  <c r="C73" i="26"/>
  <c r="C73" i="24"/>
  <c r="K5" i="2"/>
  <c r="N2" i="2" l="1"/>
  <c r="O10" i="2"/>
  <c r="O48" i="2"/>
  <c r="O57" i="2"/>
  <c r="H14" i="2"/>
  <c r="H15" i="2"/>
  <c r="I13" i="2"/>
  <c r="I14" i="2"/>
  <c r="I15" i="2"/>
  <c r="K13" i="2"/>
  <c r="K14" i="2"/>
  <c r="K15" i="2"/>
  <c r="O30" i="2" l="1"/>
  <c r="O39" i="2"/>
  <c r="S2" i="2" l="1"/>
  <c r="F47" i="2" s="1"/>
  <c r="D53" i="2" s="1"/>
  <c r="O7" i="2"/>
  <c r="O5" i="2"/>
  <c r="O6" i="2"/>
  <c r="O34" i="2"/>
  <c r="J15" i="2" s="1"/>
  <c r="O33" i="2"/>
  <c r="J14" i="2" s="1"/>
  <c r="J13" i="2"/>
  <c r="D54" i="2" l="1"/>
  <c r="D59" i="2" s="1"/>
  <c r="D60" i="2" s="1"/>
  <c r="AC5" i="2"/>
  <c r="AC6" i="2" s="1"/>
  <c r="D55" i="2" l="1"/>
  <c r="O8" i="2"/>
  <c r="O9" i="2"/>
  <c r="O2" i="2" l="1"/>
  <c r="F3" i="2" s="1"/>
  <c r="D8" i="2" s="1"/>
  <c r="D9" i="2" s="1"/>
  <c r="F14" i="2" s="1"/>
  <c r="D14" i="2" s="1"/>
  <c r="C66" i="2" s="1"/>
  <c r="G20" i="9" l="1"/>
  <c r="D10" i="2"/>
  <c r="C21" i="9" l="1"/>
  <c r="D24" i="6" s="1"/>
  <c r="D25" i="6"/>
  <c r="H38" i="9"/>
  <c r="O20" i="9"/>
  <c r="D15" i="2"/>
  <c r="D13" i="6" l="1"/>
  <c r="E13" i="6" s="1"/>
  <c r="E24" i="6"/>
  <c r="D26" i="6"/>
  <c r="D15" i="6" s="1"/>
  <c r="E15" i="6" s="1"/>
  <c r="D14" i="6"/>
  <c r="E14" i="6" s="1"/>
  <c r="E25" i="6"/>
  <c r="O22" i="9"/>
  <c r="O24" i="9" s="1"/>
  <c r="F40" i="11"/>
  <c r="D18" i="6" l="1"/>
  <c r="E18" i="6"/>
  <c r="F43" i="11"/>
  <c r="E26" i="6"/>
  <c r="E27" i="6" s="1"/>
  <c r="C27" i="6"/>
  <c r="C75" i="31" l="1"/>
  <c r="C77" i="31" s="1"/>
  <c r="C84" i="31" s="1"/>
  <c r="C86" i="31" s="1"/>
  <c r="C88" i="31" s="1"/>
  <c r="C75" i="29"/>
  <c r="C77" i="29" s="1"/>
  <c r="C84" i="29" s="1"/>
  <c r="C86" i="29" s="1"/>
  <c r="C88" i="29" s="1"/>
  <c r="C75" i="24"/>
  <c r="C77" i="24" s="1"/>
  <c r="C84" i="24" s="1"/>
  <c r="C86" i="24" s="1"/>
  <c r="C88" i="24" s="1"/>
  <c r="C75" i="26"/>
  <c r="C77" i="26" s="1"/>
  <c r="C84" i="26" s="1"/>
  <c r="C86" i="26" s="1"/>
  <c r="C88" i="26" s="1"/>
  <c r="C75" i="2"/>
  <c r="C77" i="2" s="1"/>
  <c r="C30" i="6"/>
  <c r="O16" i="3" s="1"/>
  <c r="C84" i="2" l="1"/>
  <c r="C73" i="2"/>
  <c r="C86" i="2" l="1"/>
  <c r="O19" i="3" s="1"/>
  <c r="F45" i="11"/>
  <c r="C88" i="2" l="1"/>
  <c r="O21" i="3"/>
  <c r="F55" i="24"/>
  <c r="Q2" i="24" l="1"/>
  <c r="S2" i="24" s="1"/>
  <c r="F47" i="24" s="1"/>
  <c r="D53" i="24" s="1"/>
  <c r="D54" i="24" s="1"/>
  <c r="D55" i="24" l="1"/>
  <c r="D59" i="24"/>
  <c r="D60" i="24" s="1"/>
  <c r="R2" i="24"/>
</calcChain>
</file>

<file path=xl/comments1.xml><?xml version="1.0" encoding="utf-8"?>
<comments xmlns="http://schemas.openxmlformats.org/spreadsheetml/2006/main">
  <authors>
    <author>Forfatter</author>
  </authors>
  <commentList>
    <comment ref="C8" authorId="0" shapeId="0">
      <text>
        <r>
          <rPr>
            <b/>
            <sz val="9"/>
            <color indexed="81"/>
            <rFont val="Tahoma"/>
            <family val="2"/>
          </rPr>
          <t>Forfatter:</t>
        </r>
        <r>
          <rPr>
            <sz val="9"/>
            <color indexed="81"/>
            <rFont val="Tahoma"/>
            <family val="2"/>
          </rPr>
          <t xml:space="preserve">
lyder forkert</t>
        </r>
      </text>
    </comment>
  </commentList>
</comments>
</file>

<file path=xl/sharedStrings.xml><?xml version="1.0" encoding="utf-8"?>
<sst xmlns="http://schemas.openxmlformats.org/spreadsheetml/2006/main" count="2004" uniqueCount="398">
  <si>
    <t>Brændsel</t>
  </si>
  <si>
    <t>Ydelse</t>
  </si>
  <si>
    <t>Alder</t>
  </si>
  <si>
    <t>Virk. ny</t>
  </si>
  <si>
    <t>Virk. nu</t>
  </si>
  <si>
    <t>Halm</t>
  </si>
  <si>
    <t>Træpiller</t>
  </si>
  <si>
    <t>Års virk. nu</t>
  </si>
  <si>
    <t>Korr. til årsvirk.</t>
  </si>
  <si>
    <t>Års virk. ny</t>
  </si>
  <si>
    <t>Fald</t>
  </si>
  <si>
    <t>Korr. virk.</t>
  </si>
  <si>
    <t>Brænde</t>
  </si>
  <si>
    <t>Flis</t>
  </si>
  <si>
    <t>Olie</t>
  </si>
  <si>
    <t>Gas</t>
  </si>
  <si>
    <t>Forside</t>
  </si>
  <si>
    <t>Afgrænsning af standardløsning</t>
  </si>
  <si>
    <t>•</t>
  </si>
  <si>
    <t>Ja</t>
  </si>
  <si>
    <t>Nej</t>
  </si>
  <si>
    <t>Input</t>
  </si>
  <si>
    <t>kW</t>
  </si>
  <si>
    <t>%</t>
  </si>
  <si>
    <t>Resultat</t>
  </si>
  <si>
    <t>MWh/år</t>
  </si>
  <si>
    <t>Energibesparelse pr. år</t>
  </si>
  <si>
    <t>Retur</t>
  </si>
  <si>
    <t>Brændværdier</t>
  </si>
  <si>
    <t>Naturgas</t>
  </si>
  <si>
    <t>kWh/NM3</t>
  </si>
  <si>
    <t>https://ens.dk/sites/ens.dk/files/CO2/standardfaktorer_for_2019.pdf</t>
  </si>
  <si>
    <t>kWh/l</t>
  </si>
  <si>
    <t>kWh/kg</t>
  </si>
  <si>
    <t>Kul og koks</t>
  </si>
  <si>
    <t>Brændværdi</t>
  </si>
  <si>
    <t>Brændselsforbrug</t>
  </si>
  <si>
    <t>Gammel kedel</t>
  </si>
  <si>
    <t>Nye kedel</t>
  </si>
  <si>
    <t>Energiforbrug - brændsel</t>
  </si>
  <si>
    <t>Varmebehov</t>
  </si>
  <si>
    <t>kWh</t>
  </si>
  <si>
    <t>Mængde brændsel</t>
  </si>
  <si>
    <t>Maksimal brændselsforbrug</t>
  </si>
  <si>
    <t>Virkningsgrad ved ny</t>
  </si>
  <si>
    <t>Kapacitet på ny kedel</t>
  </si>
  <si>
    <t>Brændselstype i før-situationen</t>
  </si>
  <si>
    <t>Virkningsgrad for ny kedel</t>
  </si>
  <si>
    <t>Energiforbrug Efter-situation</t>
  </si>
  <si>
    <t>Energiforbrug Før-situation</t>
  </si>
  <si>
    <t>Årsvirkningsgrad for ny kedel</t>
  </si>
  <si>
    <t>Varmepumpe</t>
  </si>
  <si>
    <t>Fjernvarme</t>
  </si>
  <si>
    <t>SCOP</t>
  </si>
  <si>
    <t>Kedel fra 1970 - 1990</t>
  </si>
  <si>
    <t>1-69 kW</t>
  </si>
  <si>
    <t>70 - 199 kW</t>
  </si>
  <si>
    <t>200-1000 kW</t>
  </si>
  <si>
    <t>Kapacitetsinterval</t>
  </si>
  <si>
    <t>Angivet effekt</t>
  </si>
  <si>
    <t>Virkningsgrad - olie</t>
  </si>
  <si>
    <t>Kedeltype</t>
  </si>
  <si>
    <t>Halmkedler</t>
  </si>
  <si>
    <t>1-1000 kW</t>
  </si>
  <si>
    <t>Virkningsgrad - Naturgas</t>
  </si>
  <si>
    <t>Virkningsgrad - Halm</t>
  </si>
  <si>
    <t>Flis/korn</t>
  </si>
  <si>
    <t>Automatisk flis/kornanlæg</t>
  </si>
  <si>
    <t>Årgang</t>
  </si>
  <si>
    <t>Automatisk halmanlæg</t>
  </si>
  <si>
    <t>Virkningsgrader</t>
  </si>
  <si>
    <t>Virkningsgrad - Flis</t>
  </si>
  <si>
    <t>Virkningsgrad - Træpiller</t>
  </si>
  <si>
    <t>Tilskud til energibesparelser og energieffektiviseringer i erhvervsvirksomheder</t>
  </si>
  <si>
    <t>Februar</t>
  </si>
  <si>
    <t>Marts</t>
  </si>
  <si>
    <t>April</t>
  </si>
  <si>
    <t>Maj</t>
  </si>
  <si>
    <t>Juni</t>
  </si>
  <si>
    <t>Juli</t>
  </si>
  <si>
    <t>August</t>
  </si>
  <si>
    <t>September</t>
  </si>
  <si>
    <t>Oktober</t>
  </si>
  <si>
    <t>November</t>
  </si>
  <si>
    <t>December</t>
  </si>
  <si>
    <t>Januar</t>
  </si>
  <si>
    <t>Gennemsnit</t>
  </si>
  <si>
    <t>Virkningsgrad for ny kedel/varmepumpe</t>
  </si>
  <si>
    <t>Årsvirk. Nu</t>
  </si>
  <si>
    <t>Brændselstype</t>
  </si>
  <si>
    <t>A</t>
  </si>
  <si>
    <t>B</t>
  </si>
  <si>
    <t>C</t>
  </si>
  <si>
    <t>E</t>
  </si>
  <si>
    <t>F</t>
  </si>
  <si>
    <t>D</t>
  </si>
  <si>
    <t>Kondenserende kedel, over 10 år</t>
  </si>
  <si>
    <t>Kondenserende kedel, under 10 år</t>
  </si>
  <si>
    <t>Kul/koks</t>
  </si>
  <si>
    <t>Startår</t>
  </si>
  <si>
    <t>Gule felter skal udfyldes</t>
  </si>
  <si>
    <t>Grå felter skal IKKE udfyldes</t>
  </si>
  <si>
    <t>1.2</t>
  </si>
  <si>
    <t>1.1</t>
  </si>
  <si>
    <t>1.4</t>
  </si>
  <si>
    <t>1.5</t>
  </si>
  <si>
    <t xml:space="preserve">Er forbruget opgjort over 1 eller 3 år? </t>
  </si>
  <si>
    <t>3.1</t>
  </si>
  <si>
    <t>Energiforbrug i efter-situationen</t>
  </si>
  <si>
    <t>Energitype i efter-situationen</t>
  </si>
  <si>
    <t>Energiforbrug i før-situationen</t>
  </si>
  <si>
    <t>Energitype i før-situationen</t>
  </si>
  <si>
    <t>Sådan kommer du i gang</t>
  </si>
  <si>
    <t>Det kan du</t>
  </si>
  <si>
    <r>
      <rPr>
        <b/>
        <sz val="9"/>
        <color theme="1"/>
        <rFont val="Calibri"/>
        <family val="2"/>
        <scheme val="minor"/>
      </rPr>
      <t>1.</t>
    </r>
    <r>
      <rPr>
        <sz val="9"/>
        <color theme="1"/>
        <rFont val="Calibri"/>
        <family val="2"/>
        <scheme val="minor"/>
      </rPr>
      <t xml:space="preserve"> Se hvilke projekter der er indbefattet standardløsningen </t>
    </r>
  </si>
  <si>
    <r>
      <rPr>
        <b/>
        <sz val="9"/>
        <color theme="1"/>
        <rFont val="Calibri"/>
        <family val="2"/>
        <scheme val="minor"/>
      </rPr>
      <t>2.</t>
    </r>
    <r>
      <rPr>
        <sz val="9"/>
        <color theme="1"/>
        <rFont val="Calibri"/>
        <family val="2"/>
        <scheme val="minor"/>
      </rPr>
      <t xml:space="preserve"> Se dokumentationskrav der er gældende for standardløsningen </t>
    </r>
  </si>
  <si>
    <r>
      <rPr>
        <b/>
        <sz val="9"/>
        <color theme="1"/>
        <rFont val="Calibri"/>
        <family val="2"/>
        <scheme val="minor"/>
      </rPr>
      <t>1.</t>
    </r>
    <r>
      <rPr>
        <sz val="9"/>
        <color theme="1"/>
        <rFont val="Calibri"/>
        <family val="2"/>
        <scheme val="minor"/>
      </rPr>
      <t xml:space="preserve"> Læs om de aktuelle energisparetiltag på fanen "Beskrivelse"</t>
    </r>
  </si>
  <si>
    <r>
      <rPr>
        <b/>
        <sz val="9"/>
        <color theme="1"/>
        <rFont val="Calibri"/>
        <family val="2"/>
        <scheme val="minor"/>
      </rPr>
      <t>2.</t>
    </r>
    <r>
      <rPr>
        <sz val="9"/>
        <color theme="1"/>
        <rFont val="Calibri"/>
        <family val="2"/>
        <scheme val="minor"/>
      </rPr>
      <t xml:space="preserve"> Udfyld standardløsningen</t>
    </r>
  </si>
  <si>
    <t>Elkedel</t>
  </si>
  <si>
    <t>Er energiforbruget i før-situationen dokumenteret via faktura eller udtræk fra gasmåler?</t>
  </si>
  <si>
    <t>Brændværdi for kul/koks</t>
  </si>
  <si>
    <t>Stenkul</t>
  </si>
  <si>
    <t>Koks</t>
  </si>
  <si>
    <t>Stenkul_min</t>
  </si>
  <si>
    <t>Stenkul_max</t>
  </si>
  <si>
    <t>Stenkul_gns</t>
  </si>
  <si>
    <t>Fyringsolie</t>
  </si>
  <si>
    <t>Heavy Fuel Oil</t>
  </si>
  <si>
    <t/>
  </si>
  <si>
    <t>Før-situation</t>
  </si>
  <si>
    <t>Efter-situation</t>
  </si>
  <si>
    <t>Opvarmningstype</t>
  </si>
  <si>
    <t>Energityper til indtastning på portal</t>
  </si>
  <si>
    <t>Varmebehov efter</t>
  </si>
  <si>
    <t>Kedlens effekt/varmeydelse [kW]</t>
  </si>
  <si>
    <t>Tjek</t>
  </si>
  <si>
    <t>Teoretisk energiforbrug</t>
  </si>
  <si>
    <t>Teoretisk brændselsforbrug</t>
  </si>
  <si>
    <t xml:space="preserve"> Specifikke dokumentationskrav til standardløsningen</t>
  </si>
  <si>
    <t>Angivelse af nuværende brændselskedel</t>
  </si>
  <si>
    <t>Forventet nye varmeforsyning</t>
  </si>
  <si>
    <t>Før 2000</t>
  </si>
  <si>
    <t>Efter 2012</t>
  </si>
  <si>
    <t>kedel før 1970</t>
  </si>
  <si>
    <t>Forbrug i kWh</t>
  </si>
  <si>
    <t>Brændekedel</t>
  </si>
  <si>
    <t>Efter 2000 og før 2011</t>
  </si>
  <si>
    <t>Kategorier</t>
  </si>
  <si>
    <t>Før 1960</t>
  </si>
  <si>
    <t>Fra 1961-1978</t>
  </si>
  <si>
    <t>Fra 1979</t>
  </si>
  <si>
    <t>Produktion</t>
  </si>
  <si>
    <t xml:space="preserve">Lager </t>
  </si>
  <si>
    <t>Hotel og restauranter</t>
  </si>
  <si>
    <t>Kontorer</t>
  </si>
  <si>
    <t>Butikker</t>
  </si>
  <si>
    <t>Beboelse</t>
  </si>
  <si>
    <t>Varmetal inklusivt varmt brugsvand</t>
  </si>
  <si>
    <t>Varmetal eksklusivt varmt brugsvand</t>
  </si>
  <si>
    <t>Boligareal</t>
  </si>
  <si>
    <t>Går dele af forbruget til opvarmning af bolig?</t>
  </si>
  <si>
    <t>m2</t>
  </si>
  <si>
    <t>Byggeår</t>
  </si>
  <si>
    <t>Årsinterval</t>
  </si>
  <si>
    <t>Nøgletal</t>
  </si>
  <si>
    <t>kWh/m2</t>
  </si>
  <si>
    <t>Forbrug til bolig</t>
  </si>
  <si>
    <t>Forbrug til erhverv</t>
  </si>
  <si>
    <t>Forbrug til bolig [l/år]</t>
  </si>
  <si>
    <t>Gaskalorifer</t>
  </si>
  <si>
    <t>Oliekalorifer</t>
  </si>
  <si>
    <t>Gasstrålevarmer</t>
  </si>
  <si>
    <t>Forbrug til erhverv [l/år]</t>
  </si>
  <si>
    <t>Indsættes i ark</t>
  </si>
  <si>
    <t>Virkningsgrad</t>
  </si>
  <si>
    <t>Column1</t>
  </si>
  <si>
    <t>Udregning af normvirkningsgrad ved udskiftning</t>
  </si>
  <si>
    <t>Kapacitet</t>
  </si>
  <si>
    <t>Type</t>
  </si>
  <si>
    <t>Vandbåren</t>
  </si>
  <si>
    <t>Direkte forbrænding</t>
  </si>
  <si>
    <t>Årstal</t>
  </si>
  <si>
    <t>Regression</t>
  </si>
  <si>
    <t>&lt;1930</t>
  </si>
  <si>
    <t>1931-1950</t>
  </si>
  <si>
    <t>1951-1960</t>
  </si>
  <si>
    <t>1961-1972</t>
  </si>
  <si>
    <t>1973-1978</t>
  </si>
  <si>
    <t>1979-1988</t>
  </si>
  <si>
    <t>1998-2008</t>
  </si>
  <si>
    <t>Fabrikker, værksteder o.l</t>
  </si>
  <si>
    <t>Anden bygning til produktion</t>
  </si>
  <si>
    <t>Transport- eller garageanlæg</t>
  </si>
  <si>
    <t>Kontor, handel, lager, off. adm.</t>
  </si>
  <si>
    <t>Gaskedel</t>
  </si>
  <si>
    <t>Oliekedel</t>
  </si>
  <si>
    <t>Fliskedel</t>
  </si>
  <si>
    <t>Træpillekedel</t>
  </si>
  <si>
    <t>Kulkedel</t>
  </si>
  <si>
    <t>Kokskedel</t>
  </si>
  <si>
    <t>HFO-kedel</t>
  </si>
  <si>
    <t>Halmkedel</t>
  </si>
  <si>
    <t>Liste over typer</t>
  </si>
  <si>
    <t>Energitype</t>
  </si>
  <si>
    <t>Gas-/dieselolie</t>
  </si>
  <si>
    <t>Skovflis</t>
  </si>
  <si>
    <t>Heavy fuel oil</t>
  </si>
  <si>
    <t>Erhvervsareal</t>
  </si>
  <si>
    <t>Forventet ny varmeforsyning</t>
  </si>
  <si>
    <t>Varmeydelse</t>
  </si>
  <si>
    <t>Hvad anvendes bygningen til?</t>
  </si>
  <si>
    <t>Til generel beregner (kun beboelse)</t>
  </si>
  <si>
    <t>Varmebehov (netto)</t>
  </si>
  <si>
    <t>Varmeforbrug før (brutto)</t>
  </si>
  <si>
    <t>Varmeforbrug efter</t>
  </si>
  <si>
    <t>Varmebehov erhverv</t>
  </si>
  <si>
    <t>Elektricitet</t>
  </si>
  <si>
    <t>Kedel</t>
  </si>
  <si>
    <t>Brændselsforbrug efter</t>
  </si>
  <si>
    <t>1. års forbrug</t>
  </si>
  <si>
    <t>Standardløsningskatalog for varmeforsyning</t>
  </si>
  <si>
    <t>Dokumentationskrav indeholder blandt andet:</t>
  </si>
  <si>
    <t>1. Antal kaloriferer (Maks 3)</t>
  </si>
  <si>
    <t>Årsvirkningsgrader ved udskiftningstidspunktet</t>
  </si>
  <si>
    <t>Kalorifer 2 årsvirk</t>
  </si>
  <si>
    <t>Kalorifer 3 årsvirk</t>
  </si>
  <si>
    <t>Kalorifer 1 årsvirk</t>
  </si>
  <si>
    <t xml:space="preserve">Omfatter energispareprojektet implementeres i en eller flere konventionelle grisestalde? </t>
  </si>
  <si>
    <t xml:space="preserve">Energitype i før-situationen </t>
  </si>
  <si>
    <t>1.</t>
  </si>
  <si>
    <t>Opgørelsesmetode af grisebesætningen</t>
  </si>
  <si>
    <t xml:space="preserve">2. </t>
  </si>
  <si>
    <t>Beregning af det årlig varmeforbrug til opvarmning i grisestalde</t>
  </si>
  <si>
    <t xml:space="preserve">Energibesparelse </t>
  </si>
  <si>
    <t xml:space="preserve">3. </t>
  </si>
  <si>
    <t xml:space="preserve">4. </t>
  </si>
  <si>
    <t xml:space="preserve">Brændelstype i før-situationen </t>
  </si>
  <si>
    <t>5.</t>
  </si>
  <si>
    <t xml:space="preserve">Beregning af brændselskedlens årsvirkningsgraden ved udskiftningstidspunktet </t>
  </si>
  <si>
    <t>Størrelse[kW]</t>
  </si>
  <si>
    <t>Normvirkningsgrad[%]</t>
  </si>
  <si>
    <t>Årsvirkningsgrad[%]</t>
  </si>
  <si>
    <t>6.</t>
  </si>
  <si>
    <t xml:space="preserve">Ny varmeforsyning i efter-situationen </t>
  </si>
  <si>
    <t xml:space="preserve">Varmeforbrug - Grise </t>
  </si>
  <si>
    <t xml:space="preserve">Baggrundsberegning </t>
  </si>
  <si>
    <t>Bruger input</t>
  </si>
  <si>
    <t>Indlejrede forudsætninger</t>
  </si>
  <si>
    <t>Energistyrelsens forudsætninger</t>
  </si>
  <si>
    <t>Forudsætninger</t>
  </si>
  <si>
    <t>Afgrænsninger</t>
  </si>
  <si>
    <t>Svar muligheder</t>
  </si>
  <si>
    <t>Spørgsmål</t>
  </si>
  <si>
    <t xml:space="preserve">Antal hold </t>
  </si>
  <si>
    <t xml:space="preserve">Input </t>
  </si>
  <si>
    <t>1. Opgørelsesmetode af besætningsstørrelsen</t>
  </si>
  <si>
    <t>Årsrapport</t>
  </si>
  <si>
    <t>CHR</t>
  </si>
  <si>
    <t xml:space="preserve">1.1 Årsrapport </t>
  </si>
  <si>
    <t>Årssøer</t>
  </si>
  <si>
    <t>Slagtesvin</t>
  </si>
  <si>
    <t>Smågrise</t>
  </si>
  <si>
    <t>1.2 CHR</t>
  </si>
  <si>
    <t>Søer,gylte og orner</t>
  </si>
  <si>
    <t>Svin o. 30 kg</t>
  </si>
  <si>
    <t>Smågrise 7-30 kg</t>
  </si>
  <si>
    <t>Staldtype</t>
  </si>
  <si>
    <t>Varmeforbrug - kWh/gris</t>
  </si>
  <si>
    <t>Nøgletal pr gris - kWh</t>
  </si>
  <si>
    <t>Løbe/drægtighedsstalde</t>
  </si>
  <si>
    <t xml:space="preserve">3. Udtørres staldende med olievarmekanoner </t>
  </si>
  <si>
    <t>Farestalde - fuldspaltegulv</t>
  </si>
  <si>
    <t>Farestalde - delvist fast gulv</t>
  </si>
  <si>
    <t>3.1 Udskiftes olievarmekanonerne i energisparetiltaget</t>
  </si>
  <si>
    <t xml:space="preserve">Slagtesvinstald - delvist fast gulv </t>
  </si>
  <si>
    <t xml:space="preserve">Slagtesvinstald - spalter </t>
  </si>
  <si>
    <t>7. Varmeforsyning i efter-situationen</t>
  </si>
  <si>
    <t>Brændselskedel</t>
  </si>
  <si>
    <t>Smågrisestald - spalter</t>
  </si>
  <si>
    <t>Smågrisestald - delvist fast gulv</t>
  </si>
  <si>
    <t>Varmeforbrug til udtørring - kWh/gris</t>
  </si>
  <si>
    <t xml:space="preserve">Vil energispareprojektet implementeres i en eller flere konventionelle slagtekyllingestalde? </t>
  </si>
  <si>
    <t>Opgørelsesmetode af slagtekyllingebesætningen</t>
  </si>
  <si>
    <t>2.</t>
  </si>
  <si>
    <t>Beregning af det årlig varmeforbrug til opvarmning i kyllingestalde</t>
  </si>
  <si>
    <t>Specifikke dokumentationskrav til standardløsningen</t>
  </si>
  <si>
    <t>3.</t>
  </si>
  <si>
    <t>4.</t>
  </si>
  <si>
    <t xml:space="preserve">slagte </t>
  </si>
  <si>
    <t>øko</t>
  </si>
  <si>
    <t xml:space="preserve">2. Hvilken type kyllingeproduktion er der på besætningen </t>
  </si>
  <si>
    <t>Konventionel</t>
  </si>
  <si>
    <t>Økologisk</t>
  </si>
  <si>
    <t>Frilands</t>
  </si>
  <si>
    <t xml:space="preserve">3. Er der varmegenvinding i ventilationsanlægget </t>
  </si>
  <si>
    <t>Nøgletal pr kylling - kWh</t>
  </si>
  <si>
    <t>m veksler</t>
  </si>
  <si>
    <t>3.1 hvilken type veksler er der i ventilationsanlægget</t>
  </si>
  <si>
    <t>Væskekoblende batterier</t>
  </si>
  <si>
    <t>Heatpipes</t>
  </si>
  <si>
    <t>Krydsvarmeveksler</t>
  </si>
  <si>
    <t>Roterende veksler</t>
  </si>
  <si>
    <t>Modstrømveksler</t>
  </si>
  <si>
    <t>4. Omhandler energisparetiltaget udskiftning af brændselskedel</t>
  </si>
  <si>
    <t xml:space="preserve">5.Omhandler energisparetiltaget etablering af varmegenvinding </t>
  </si>
  <si>
    <t xml:space="preserve">Nej </t>
  </si>
  <si>
    <t xml:space="preserve">Udtørres staldene med olievarmekanoner </t>
  </si>
  <si>
    <t>Virkningsgrad - Brænde</t>
  </si>
  <si>
    <t>Årgang [år]</t>
  </si>
  <si>
    <r>
      <t>Bygningens erhvervsareal [m</t>
    </r>
    <r>
      <rPr>
        <vertAlign val="superscript"/>
        <sz val="11"/>
        <color theme="1"/>
        <rFont val="Verdana"/>
        <family val="2"/>
      </rPr>
      <t>2</t>
    </r>
    <r>
      <rPr>
        <sz val="11"/>
        <color theme="1"/>
        <rFont val="Verdana"/>
        <family val="2"/>
      </rPr>
      <t>]</t>
    </r>
  </si>
  <si>
    <t>Varmeforbrug (beregnet)</t>
  </si>
  <si>
    <t>Varmeforbrug på enhedsbasis</t>
  </si>
  <si>
    <t>Kan vælges efter</t>
  </si>
  <si>
    <t>Kan vælges før</t>
  </si>
  <si>
    <t>Årgang af eksisterende kedel / kalorifer [årstal]</t>
  </si>
  <si>
    <t>Angivelse af nuværende varmeforsyning</t>
  </si>
  <si>
    <t>2.1</t>
  </si>
  <si>
    <t>1.3</t>
  </si>
  <si>
    <t xml:space="preserve">Anvendes den pågældende varmekilde udelukkende til rumopvarmning? </t>
  </si>
  <si>
    <t>Hvornår er bygningen opført/senest renoveret [årstal]?</t>
  </si>
  <si>
    <t>Angivelse af bygning</t>
  </si>
  <si>
    <t>2.2</t>
  </si>
  <si>
    <t>2.3</t>
  </si>
  <si>
    <t xml:space="preserve">Standardløsningskatalog for udskiftning af varmeforsyning </t>
  </si>
  <si>
    <t xml:space="preserve">Tiltag 2 Udskiftning af varmeforsyning - Energiforbrug beregnet via nøgletal </t>
  </si>
  <si>
    <t xml:space="preserve">Tiltag 5 Virkningsgradsberegner brændselskedler </t>
  </si>
  <si>
    <t>Tiltag 1 Udskiftning af varmeforsyning - Dokumenteret forbrug</t>
  </si>
  <si>
    <t xml:space="preserve">Tiltag 4 Udskiftning af brændselskedler - Konventionelle slagtekyllingestalde </t>
  </si>
  <si>
    <t xml:space="preserve">Tiltag 3 Udskifning af brændselskedler - Konventionelle grisestalde </t>
  </si>
  <si>
    <t xml:space="preserve">Dette tiltag benyttes til at bestemme en virkningsgrad på ansøgningstidspunktet for en brændselskedel. Den skal benyttes til alle typer af projekter, som ikke er omfattet af tiltag 1-4, som omhandler en brændselskedel under 1000 kW. Typer af projekter kunne være varmegenvinding, ventilationsprojekter, målinger af energiforbruget, nøgletal for specifik type produktion, hvor brændselskedlen er involveret. 
</t>
  </si>
  <si>
    <t xml:space="preserve">Standardløsningskatalog for varmeforsyning </t>
  </si>
  <si>
    <t>Type af brændselskedel</t>
  </si>
  <si>
    <t>Årgang på kedlen [årstal]</t>
  </si>
  <si>
    <t>Årsvirkningsgrad på ansøgningstidspunktet [%]</t>
  </si>
  <si>
    <t xml:space="preserve">Er den eksisterende varmeforsyning en varmtvandkedel, dampkedel eller kalorifer? </t>
  </si>
  <si>
    <t>Har brændselskedlen en varmeydelse op til 1000 kW eller  har kaloriferer en varmeydelse op til 500 kW?</t>
  </si>
  <si>
    <t>Har brændselskedlen en varmeydelse op til 1000 kW eller har kaloriferer en varmeydelse op til 500 kW?</t>
  </si>
  <si>
    <t>Type af kedel / kaloriferer</t>
  </si>
  <si>
    <t>Træ og træaffald</t>
  </si>
  <si>
    <t>Årsvirk kalorifer</t>
  </si>
  <si>
    <t>Træpiller og briketter</t>
  </si>
  <si>
    <t>Celle 1</t>
  </si>
  <si>
    <t>Celle 2</t>
  </si>
  <si>
    <t>Celle 3</t>
  </si>
  <si>
    <t>Årlige antal</t>
  </si>
  <si>
    <t>Varmeveksler</t>
  </si>
  <si>
    <t>Varmebehov m veksler</t>
  </si>
  <si>
    <t>Tjek tiltag 3</t>
  </si>
  <si>
    <t>Tjek tiltag 4</t>
  </si>
  <si>
    <t>Er der tale om en fuld udskiftning af eksisterende kedel/ kalorifer?</t>
  </si>
  <si>
    <t xml:space="preserve"> Dokumentationskrav til standardløsningen</t>
  </si>
  <si>
    <t>Udskiftes til en varmepumpe, fjernvarme eller biomassekedel?</t>
  </si>
  <si>
    <t>ja</t>
  </si>
  <si>
    <t>Er der tale om en fuld udskiftning af eksisterende brændselskedel/ kalorifer?</t>
  </si>
  <si>
    <t>Er der tale om en fuld udskiftning af eksisterende brændselskedel?</t>
  </si>
  <si>
    <t>Udskiftes olievarmekanoner</t>
  </si>
  <si>
    <t>Er brændselskedlen under 1000 kW og en varmtvandskedel eller en dampkedel?</t>
  </si>
  <si>
    <t>Er der tale om en fuldudskiftning af den eksisterende brændselskedel?</t>
  </si>
  <si>
    <t>Udskiftes til en varmepumpe, fjernvarme eller en biokedel?</t>
  </si>
  <si>
    <t>Er projektet omfattet af tiltag 1-4</t>
  </si>
  <si>
    <r>
      <rPr>
        <b/>
        <sz val="9"/>
        <color theme="1"/>
        <rFont val="Calibri"/>
        <family val="2"/>
        <scheme val="minor"/>
      </rPr>
      <t xml:space="preserve">3. </t>
    </r>
    <r>
      <rPr>
        <sz val="9"/>
        <color theme="1"/>
        <rFont val="Calibri"/>
        <family val="2"/>
        <scheme val="minor"/>
      </rPr>
      <t xml:space="preserve">Vedlæg den udfyldte standardløsning i ansøgningsskemaet </t>
    </r>
  </si>
  <si>
    <t>Træpiller/træbriketter</t>
  </si>
  <si>
    <t>Dette tiltag  benyttes til beregning af energibesparelse ved udskiftning af varmeforsyning. Tiltaget benyttes til projekter, som omhandler varmeforbrug i en bygning. Den er henvendt til projekter, hvor energiforbruget ikke kan dokumenteres ved faktura for forbruget. Energiforbruget i før-situation beregnes ved nøgletal, som bestemmes fra anvendelsesformål og alder på bygningen samt arealet.</t>
  </si>
  <si>
    <t>Til opslag</t>
  </si>
  <si>
    <t xml:space="preserve">Dette tiltag benyttes til beregning af energibesparelse ved udskiftning af brændselskedel i svinestald. Tiltaget skal bruges i de situationer, hvor energiforbruget ikke kan dokumenteres ved fakturaer eller målinger. Pressesedler for halm anses ikke som dokumentation for energiforbruget. Den kan kun benyttes til besætninger bestående af årssøer, smågrise eller slagtegrise. Energiforbruget beregnes ved hjælp af nøgletal for varmeforbruget samt energiforbruget til udtørring. </t>
  </si>
  <si>
    <t xml:space="preserve">Er den eksisterende kedel under 1000 kW og  en varmtvands- eller dampkedel? </t>
  </si>
  <si>
    <t>Er brændselskedlen en halm-, træpille-, flis-, olie-, naturgaskedel?</t>
  </si>
  <si>
    <t>Medregn virkningsgrad</t>
  </si>
  <si>
    <t>Kedler</t>
  </si>
  <si>
    <t>Kalorifere</t>
  </si>
  <si>
    <t>Varmeforbrug beregnet</t>
  </si>
  <si>
    <t>Kalorifer</t>
  </si>
  <si>
    <t>Kedlens/kaloriferens varmeydelse [kW]</t>
  </si>
  <si>
    <t>Type af kedel/kaloriferer</t>
  </si>
  <si>
    <t>Årgang af eksisterende kedel/kalorifer[årstal]</t>
  </si>
  <si>
    <t>Kedlens/kaloriferens effekt/varmeydelse [kW]</t>
  </si>
  <si>
    <t>Virkningsgrad kedel</t>
  </si>
  <si>
    <t>Kalorifer Tiltag 1</t>
  </si>
  <si>
    <t>Kalorifer Tiltag 2</t>
  </si>
  <si>
    <t>Virkningsgrad kalorifer</t>
  </si>
  <si>
    <t>Virkningsgrad Tiltag 2</t>
  </si>
  <si>
    <t>Virkningsgrad Tiltag 1</t>
  </si>
  <si>
    <r>
      <t xml:space="preserve">4. </t>
    </r>
    <r>
      <rPr>
        <sz val="9"/>
        <color theme="1"/>
        <rFont val="Calibri"/>
        <family val="2"/>
        <scheme val="minor"/>
      </rPr>
      <t xml:space="preserve">Hvis du går i stå, læs vejledningen til de enkelte tiltag. De kan findes på hver tiltags side </t>
    </r>
  </si>
  <si>
    <t xml:space="preserve">Er den eksisterende varmeforsyning en varmtvandskedel, dampkedel eller kalorifer? </t>
  </si>
  <si>
    <t>2. Type kalorifer</t>
  </si>
  <si>
    <t>Tiltag 6 - Bestemmelse af årsvirkningsgrader for kaloriferer</t>
  </si>
  <si>
    <t xml:space="preserve">Dette tiltag benyttes til at bestemme en virkningsgrad på ansøgningstidspunktet for op til tre kaloriferer med en individuel varmeydelse på op til 550 kW. Dette kan bl.a. benyttes til projekter som vedrører varmegenvinding, ventilationsprojekter og andre projekter hvor kaloriferernes virkningsgrad skal benyttes.
</t>
  </si>
  <si>
    <t>Er de individuelle kaloriferers varmeydelse mindre end 500 kW?</t>
  </si>
  <si>
    <t>Er der tale om en gaskalorifer eller en oliekalorifer med direkte forbrænding?</t>
  </si>
  <si>
    <t>Er projektet omfattet af tiltag 1 og 2?</t>
  </si>
  <si>
    <t>Specifikke dokumentationskrav for standardløsningen</t>
  </si>
  <si>
    <r>
      <t xml:space="preserve">Er brændselskedlen under 1000 kW og  en varmtvandkedel eller en dampkedel? </t>
    </r>
    <r>
      <rPr>
        <strike/>
        <sz val="9"/>
        <rFont val="Verdana"/>
        <family val="2"/>
      </rPr>
      <t>?</t>
    </r>
  </si>
  <si>
    <t>Udnyttes der overskudsvarme internt fra f.eks trykluftsanlæg, køleranlæg eller ventilationsanlæg?</t>
  </si>
  <si>
    <t>nej</t>
  </si>
  <si>
    <r>
      <t xml:space="preserve">Dette tiltag benyttes til beregning af energibesparelse ved udskiftning af kedel/ kalorifer. Tiltaget kan kun benyttes til projekter, som har et dokumenteret energiforbrug. Energiforbruget i før-situationen skal dokumenteres ved fakturaer eller opgørelse over gasmåler. Standardløsningen omfatter ikke udskiftning af halmkedler. Hvis dit forbrug er under 15.000 L olie, 15.000 m3 naturgas eller 32.000 kg træpiller, </t>
    </r>
    <r>
      <rPr>
        <i/>
        <sz val="11"/>
        <rFont val="Calibri"/>
        <family val="2"/>
        <scheme val="minor"/>
      </rPr>
      <t xml:space="preserve">anbefales det at benytte beregneren i stedet for standardløsningen. Beregneren findes i ansøgningsskemaet på ansøgningsportalen og er nem at udfylde, i det der kun kræves få oplysninger. 
</t>
    </r>
  </si>
  <si>
    <t xml:space="preserve">Standardløsningen skal benyttes i alle situationer omhandlende kalorifer under 500 kW, varmtvandskedler eller dampkedler under 1000 kW, som ikke er omfattet af portalberegneren. Den dækker ikke kul- og kokskedler. Der er 6 tiltag. Tiltag 1-4 beregner energiforbruget ved udskiftning af kalorifer/ kedel. Tiltag 5 beregner virkningsgrad for kedler og tiltag 6 beregner virkningsgrad for kaloriferer, som skal benyttes i projekter, som ikke er omfattet af tiltag 1-4. </t>
  </si>
  <si>
    <t xml:space="preserve">Dette tiltag benyttes til beregning af energibesparelse ved udskiftning af brændselskedler i slagtekyllingestalde. Standardløsningen skal bruges i de situationer, hvor energiforbruget ikke kan dokumenteres ved fakturaer eller målinger. Pressesedler for halm anses ikke som dokumentation for energiforbruget. Den kan kun bruges til konventionelle slatekyllingestalde og er ikke gældende for økologisk eller frilandskyllinger. Energiforbruget beregnes ved nøgletal. 
</t>
  </si>
  <si>
    <t>Vers. 5  23.01.2023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</si>
</sst>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_-* #,##0_-;\-* #,##0_-;_-* &quot;-&quot;??_-;_-@_-"/>
    <numFmt numFmtId="165" formatCode="0.0"/>
    <numFmt numFmtId="166" formatCode="_-* #,##0.00\ _k_r_._-;\-* #,##0.00\ _k_r_._-;_-* &quot;-&quot;??\ _k_r_._-;_-@_-"/>
    <numFmt numFmtId="167" formatCode="0.000%"/>
    <numFmt numFmtId="168" formatCode="0.0000"/>
    <numFmt numFmtId="169" formatCode="#,##0_ ;\-#,##0\ "/>
    <numFmt numFmtId="170" formatCode="#,##0.0"/>
    <numFmt numFmtId="171" formatCode="0.00000"/>
    <numFmt numFmtId="172" formatCode="0.0000%"/>
    <numFmt numFmtId="173" formatCode="_-* #,##0.0_-;\-* #,##0.0_-;_-* &quot;-&quot;??_-;_-@_-"/>
    <numFmt numFmtId="174" formatCode="0.0%"/>
  </numFmts>
  <fonts count="87" x14ac:knownFonts="1">
    <font>
      <sz val="11"/>
      <color theme="1"/>
      <name val="Calibri"/>
      <family val="2"/>
      <scheme val="minor"/>
    </font>
    <font>
      <sz val="8.5"/>
      <color theme="0"/>
      <name val="Verdana"/>
      <family val="2"/>
    </font>
    <font>
      <sz val="8.5"/>
      <color theme="1"/>
      <name val="Verdana"/>
      <family val="2"/>
    </font>
    <font>
      <sz val="11"/>
      <color theme="1"/>
      <name val="Calibri"/>
      <family val="2"/>
      <scheme val="minor"/>
    </font>
    <font>
      <sz val="9"/>
      <color theme="1"/>
      <name val="Calibri"/>
      <family val="2"/>
      <scheme val="minor"/>
    </font>
    <font>
      <sz val="9"/>
      <color rgb="FF009999"/>
      <name val="Verdana"/>
      <family val="2"/>
    </font>
    <font>
      <u/>
      <sz val="11"/>
      <color theme="10"/>
      <name val="Calibri"/>
      <family val="2"/>
      <scheme val="minor"/>
    </font>
    <font>
      <sz val="11"/>
      <color rgb="FF009999"/>
      <name val="Calibri"/>
      <family val="2"/>
      <scheme val="minor"/>
    </font>
    <font>
      <sz val="9"/>
      <color theme="1"/>
      <name val="Verdana"/>
      <family val="2"/>
    </font>
    <font>
      <sz val="9"/>
      <color theme="0" tint="-0.499984740745262"/>
      <name val="Calibri"/>
      <family val="2"/>
      <scheme val="minor"/>
    </font>
    <font>
      <sz val="9"/>
      <color theme="0" tint="-0.499984740745262"/>
      <name val="Verdana"/>
      <family val="2"/>
    </font>
    <font>
      <sz val="14"/>
      <color theme="4" tint="-0.249977111117893"/>
      <name val="Verdana"/>
      <family val="2"/>
    </font>
    <font>
      <sz val="14"/>
      <color theme="9" tint="-0.499984740745262"/>
      <name val="Verdana"/>
      <family val="2"/>
    </font>
    <font>
      <sz val="9"/>
      <name val="Calibri"/>
      <family val="2"/>
      <scheme val="minor"/>
    </font>
    <font>
      <sz val="9"/>
      <color theme="9" tint="0.59999389629810485"/>
      <name val="Verdana"/>
      <family val="2"/>
    </font>
    <font>
      <sz val="9"/>
      <name val="Verdana"/>
      <family val="2"/>
    </font>
    <font>
      <b/>
      <sz val="12"/>
      <color theme="9" tint="-0.499984740745262"/>
      <name val="Verdana"/>
      <family val="2"/>
    </font>
    <font>
      <sz val="18"/>
      <color theme="9" tint="0.79998168889431442"/>
      <name val="Verdana"/>
      <family val="2"/>
    </font>
    <font>
      <sz val="11"/>
      <color theme="4" tint="-0.249977111117893"/>
      <name val="Verdana"/>
      <family val="2"/>
    </font>
    <font>
      <b/>
      <sz val="9"/>
      <color theme="1"/>
      <name val="Verdana"/>
      <family val="2"/>
    </font>
    <font>
      <i/>
      <sz val="9"/>
      <color rgb="FFFF0000"/>
      <name val="Verdana"/>
      <family val="2"/>
    </font>
    <font>
      <sz val="10"/>
      <color theme="1"/>
      <name val="Verdana"/>
      <family val="2"/>
    </font>
    <font>
      <sz val="10"/>
      <name val="Verdana"/>
      <family val="2"/>
    </font>
    <font>
      <b/>
      <sz val="10"/>
      <color theme="1"/>
      <name val="Verdana"/>
      <family val="2"/>
    </font>
    <font>
      <b/>
      <sz val="8.5"/>
      <color theme="1"/>
      <name val="Verdana"/>
      <family val="2"/>
    </font>
    <font>
      <b/>
      <sz val="11"/>
      <color theme="1"/>
      <name val="Calibri"/>
      <family val="2"/>
      <scheme val="minor"/>
    </font>
    <font>
      <sz val="9"/>
      <color rgb="FF212529"/>
      <name val="Calibri"/>
      <family val="2"/>
    </font>
    <font>
      <sz val="9"/>
      <color rgb="FF000000"/>
      <name val="Calibri"/>
      <family val="2"/>
    </font>
    <font>
      <sz val="9"/>
      <color theme="9" tint="0.79998168889431442"/>
      <name val="Verdana"/>
      <family val="2"/>
    </font>
    <font>
      <sz val="9"/>
      <color theme="0"/>
      <name val="Verdana"/>
      <family val="2"/>
    </font>
    <font>
      <sz val="24"/>
      <color theme="1"/>
      <name val="Verdana"/>
      <family val="2"/>
    </font>
    <font>
      <u/>
      <sz val="20"/>
      <color theme="10"/>
      <name val="Calibri"/>
      <family val="2"/>
      <scheme val="minor"/>
    </font>
    <font>
      <sz val="11"/>
      <color theme="1" tint="0.499984740745262"/>
      <name val="Calibri"/>
      <family val="2"/>
      <scheme val="minor"/>
    </font>
    <font>
      <sz val="11"/>
      <color theme="0"/>
      <name val="Calibri"/>
      <family val="2"/>
      <scheme val="minor"/>
    </font>
    <font>
      <b/>
      <sz val="14"/>
      <color theme="1"/>
      <name val="Calibri"/>
      <family val="2"/>
      <scheme val="minor"/>
    </font>
    <font>
      <b/>
      <sz val="11"/>
      <color theme="1"/>
      <name val="Verdana"/>
      <family val="2"/>
    </font>
    <font>
      <sz val="10"/>
      <color theme="4" tint="-0.249977111117893"/>
      <name val="Verdana"/>
      <family val="2"/>
    </font>
    <font>
      <sz val="10"/>
      <color theme="1"/>
      <name val="Calibri"/>
      <family val="2"/>
      <scheme val="minor"/>
    </font>
    <font>
      <b/>
      <sz val="9"/>
      <color theme="1"/>
      <name val="Calibri"/>
      <family val="2"/>
      <scheme val="minor"/>
    </font>
    <font>
      <i/>
      <sz val="10"/>
      <color theme="4" tint="-0.249977111117893"/>
      <name val="Verdana"/>
      <family val="2"/>
    </font>
    <font>
      <i/>
      <sz val="10"/>
      <color theme="4" tint="-0.249977111117893"/>
      <name val="Calibri"/>
      <family val="2"/>
      <scheme val="minor"/>
    </font>
    <font>
      <i/>
      <sz val="10"/>
      <color theme="1"/>
      <name val="Verdana"/>
      <family val="2"/>
    </font>
    <font>
      <i/>
      <sz val="10"/>
      <color theme="1"/>
      <name val="Calibri"/>
      <family val="2"/>
      <scheme val="minor"/>
    </font>
    <font>
      <i/>
      <sz val="11"/>
      <name val="Calibri"/>
      <family val="2"/>
      <scheme val="minor"/>
    </font>
    <font>
      <sz val="9"/>
      <color theme="4" tint="-0.249977111117893"/>
      <name val="Verdana"/>
      <family val="2"/>
    </font>
    <font>
      <sz val="14"/>
      <color rgb="FF009999"/>
      <name val="Calibri"/>
      <family val="2"/>
      <scheme val="minor"/>
    </font>
    <font>
      <b/>
      <sz val="10"/>
      <color theme="0" tint="-0.14999847407452621"/>
      <name val="Verdana"/>
      <family val="2"/>
    </font>
    <font>
      <sz val="11"/>
      <color theme="0" tint="-0.14999847407452621"/>
      <name val="Calibri"/>
      <family val="2"/>
      <scheme val="minor"/>
    </font>
    <font>
      <sz val="10"/>
      <color theme="0" tint="-0.14999847407452621"/>
      <name val="Verdana"/>
      <family val="2"/>
    </font>
    <font>
      <sz val="9"/>
      <color theme="0" tint="-0.14999847407452621"/>
      <name val="Verdana"/>
      <family val="2"/>
    </font>
    <font>
      <b/>
      <sz val="11"/>
      <name val="Verdana"/>
      <family val="2"/>
    </font>
    <font>
      <sz val="11"/>
      <color theme="1"/>
      <name val="Verdana"/>
      <family val="2"/>
    </font>
    <font>
      <sz val="11"/>
      <name val="Verdana"/>
      <family val="2"/>
    </font>
    <font>
      <sz val="11"/>
      <color rgb="FFFF0000"/>
      <name val="Verdana"/>
      <family val="2"/>
    </font>
    <font>
      <b/>
      <sz val="14"/>
      <color theme="1"/>
      <name val="Verdana"/>
      <family val="2"/>
    </font>
    <font>
      <u/>
      <sz val="14"/>
      <color theme="10"/>
      <name val="Calibri"/>
      <family val="2"/>
      <scheme val="minor"/>
    </font>
    <font>
      <sz val="12"/>
      <color theme="4" tint="-0.249977111117893"/>
      <name val="Verdana"/>
      <family val="2"/>
    </font>
    <font>
      <b/>
      <sz val="10"/>
      <color rgb="FF212529"/>
      <name val="Calibri"/>
      <family val="2"/>
    </font>
    <font>
      <sz val="16"/>
      <color rgb="FFFF0000"/>
      <name val="Verdana"/>
      <family val="2"/>
    </font>
    <font>
      <sz val="14"/>
      <color rgb="FF305496"/>
      <name val="Verdana"/>
      <family val="2"/>
    </font>
    <font>
      <sz val="20"/>
      <color theme="1"/>
      <name val="Verdana"/>
      <family val="2"/>
    </font>
    <font>
      <b/>
      <sz val="10"/>
      <name val="Verdana"/>
      <family val="2"/>
    </font>
    <font>
      <b/>
      <sz val="11"/>
      <color theme="0"/>
      <name val="Calibri"/>
      <family val="2"/>
      <scheme val="minor"/>
    </font>
    <font>
      <b/>
      <sz val="10"/>
      <color theme="9" tint="-0.499984740745262"/>
      <name val="Verdana"/>
      <family val="2"/>
    </font>
    <font>
      <sz val="9"/>
      <color rgb="FFFF0000"/>
      <name val="Verdana"/>
      <family val="2"/>
    </font>
    <font>
      <sz val="14"/>
      <color rgb="FFFF0000"/>
      <name val="Verdana"/>
      <family val="2"/>
    </font>
    <font>
      <b/>
      <sz val="9"/>
      <name val="Verdana"/>
      <family val="2"/>
    </font>
    <font>
      <b/>
      <sz val="11"/>
      <name val="Calibri"/>
      <family val="2"/>
      <scheme val="minor"/>
    </font>
    <font>
      <b/>
      <u/>
      <sz val="14"/>
      <color theme="1"/>
      <name val="Calibri"/>
      <family val="2"/>
      <scheme val="minor"/>
    </font>
    <font>
      <b/>
      <u/>
      <sz val="12"/>
      <color theme="1"/>
      <name val="Calibri"/>
      <family val="2"/>
      <scheme val="minor"/>
    </font>
    <font>
      <u/>
      <sz val="11"/>
      <color theme="1"/>
      <name val="Calibri"/>
      <family val="2"/>
      <scheme val="minor"/>
    </font>
    <font>
      <b/>
      <u/>
      <sz val="11"/>
      <color theme="1"/>
      <name val="Calibri"/>
      <family val="2"/>
      <scheme val="minor"/>
    </font>
    <font>
      <b/>
      <i/>
      <u/>
      <sz val="11"/>
      <color theme="1"/>
      <name val="Calibri"/>
      <family val="2"/>
      <scheme val="minor"/>
    </font>
    <font>
      <i/>
      <sz val="11"/>
      <color theme="1"/>
      <name val="Calibri"/>
      <family val="2"/>
      <scheme val="minor"/>
    </font>
    <font>
      <vertAlign val="superscript"/>
      <sz val="11"/>
      <color theme="1"/>
      <name val="Verdana"/>
      <family val="2"/>
    </font>
    <font>
      <sz val="12"/>
      <color theme="8"/>
      <name val="Verdana"/>
      <family val="2"/>
    </font>
    <font>
      <b/>
      <sz val="14"/>
      <color theme="9" tint="-0.499984740745262"/>
      <name val="Verdana"/>
      <family val="2"/>
    </font>
    <font>
      <sz val="24"/>
      <color theme="9" tint="0.59999389629810485"/>
      <name val="Verdana"/>
      <family val="2"/>
    </font>
    <font>
      <sz val="10"/>
      <color theme="9" tint="0.59999389629810485"/>
      <name val="Verdana"/>
      <family val="2"/>
    </font>
    <font>
      <sz val="11"/>
      <color theme="9" tint="0.59999389629810485"/>
      <name val="Calibri"/>
      <family val="2"/>
      <scheme val="minor"/>
    </font>
    <font>
      <sz val="14"/>
      <color theme="9" tint="0.59999389629810485"/>
      <name val="Verdana"/>
      <family val="2"/>
    </font>
    <font>
      <sz val="11"/>
      <color theme="0" tint="-0.499984740745262"/>
      <name val="Calibri"/>
      <family val="2"/>
      <scheme val="minor"/>
    </font>
    <font>
      <u/>
      <sz val="11"/>
      <color theme="0"/>
      <name val="Calibri"/>
      <family val="2"/>
      <scheme val="minor"/>
    </font>
    <font>
      <sz val="12"/>
      <color rgb="FF305496"/>
      <name val="Verdana"/>
      <family val="2"/>
    </font>
    <font>
      <sz val="9"/>
      <color indexed="81"/>
      <name val="Tahoma"/>
      <family val="2"/>
    </font>
    <font>
      <b/>
      <sz val="9"/>
      <color indexed="81"/>
      <name val="Tahoma"/>
      <family val="2"/>
    </font>
    <font>
      <strike/>
      <sz val="9"/>
      <name val="Verdana"/>
      <family val="2"/>
    </font>
  </fonts>
  <fills count="21">
    <fill>
      <patternFill patternType="none"/>
    </fill>
    <fill>
      <patternFill patternType="gray125"/>
    </fill>
    <fill>
      <patternFill patternType="solid">
        <fgColor rgb="FF8DB4E2"/>
        <bgColor indexed="64"/>
      </patternFill>
    </fill>
    <fill>
      <patternFill patternType="solid">
        <fgColor theme="4" tint="0.59999389629810485"/>
        <bgColor indexed="64"/>
      </patternFill>
    </fill>
    <fill>
      <patternFill patternType="solid">
        <fgColor rgb="FFFFCC99"/>
      </patternFill>
    </fill>
    <fill>
      <patternFill patternType="solid">
        <fgColor rgb="FFF2F2F2"/>
      </patternFill>
    </fill>
    <fill>
      <patternFill patternType="solid">
        <fgColor them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rgb="FFDDEBF7"/>
        <bgColor indexed="64"/>
      </patternFill>
    </fill>
    <fill>
      <patternFill patternType="solid">
        <fgColor theme="0"/>
        <bgColor indexed="64"/>
      </patternFill>
    </fill>
    <fill>
      <patternFill patternType="solid">
        <fgColor theme="0" tint="-0.14999847407452621"/>
        <bgColor indexed="64"/>
      </patternFill>
    </fill>
    <fill>
      <patternFill patternType="solid">
        <fgColor rgb="FFBDD7EE"/>
        <bgColor indexed="64"/>
      </patternFill>
    </fill>
    <fill>
      <patternFill patternType="solid">
        <fgColor theme="0" tint="-0.249977111117893"/>
        <bgColor indexed="64"/>
      </patternFill>
    </fill>
    <fill>
      <patternFill patternType="solid">
        <fgColor rgb="FFD9D9D9"/>
        <bgColor indexed="64"/>
      </patternFill>
    </fill>
    <fill>
      <patternFill patternType="solid">
        <fgColor rgb="FF203764"/>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bgColor indexed="64"/>
      </patternFill>
    </fill>
  </fills>
  <borders count="5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theme="4" tint="-0.249977111117893"/>
      </right>
      <top/>
      <bottom/>
      <diagonal/>
    </border>
    <border>
      <left style="thin">
        <color theme="4" tint="-0.249977111117893"/>
      </left>
      <right/>
      <top style="thin">
        <color indexed="64"/>
      </top>
      <bottom style="thin">
        <color theme="4" tint="-0.249977111117893"/>
      </bottom>
      <diagonal/>
    </border>
    <border>
      <left/>
      <right style="thin">
        <color theme="4" tint="-0.249977111117893"/>
      </right>
      <top style="thin">
        <color indexed="64"/>
      </top>
      <bottom style="thin">
        <color theme="4"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rgb="FF000000"/>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style="thin">
        <color theme="2" tint="-9.9978637043366805E-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9" tint="0.59999389629810485"/>
      </left>
      <right style="thin">
        <color theme="9" tint="0.59999389629810485"/>
      </right>
      <top style="thin">
        <color theme="9" tint="0.59999389629810485"/>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2"/>
      </left>
      <right style="thin">
        <color theme="2"/>
      </right>
      <top style="thin">
        <color theme="2"/>
      </top>
      <bottom style="thin">
        <color theme="2"/>
      </bottom>
      <diagonal/>
    </border>
    <border>
      <left style="thin">
        <color indexed="64"/>
      </left>
      <right style="thin">
        <color indexed="64"/>
      </right>
      <top style="medium">
        <color indexed="64"/>
      </top>
      <bottom style="medium">
        <color indexed="64"/>
      </bottom>
      <diagonal/>
    </border>
    <border>
      <left style="thin">
        <color theme="2"/>
      </left>
      <right/>
      <top/>
      <bottom style="thin">
        <color theme="2"/>
      </bottom>
      <diagonal/>
    </border>
    <border>
      <left style="thin">
        <color indexed="64"/>
      </left>
      <right/>
      <top style="thin">
        <color indexed="64"/>
      </top>
      <bottom style="medium">
        <color indexed="64"/>
      </bottom>
      <diagonal/>
    </border>
    <border>
      <left/>
      <right style="medium">
        <color indexed="64"/>
      </right>
      <top style="thin">
        <color theme="4" tint="0.39997558519241921"/>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theme="4" tint="0.39997558519241921"/>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5">
    <xf numFmtId="0" fontId="0" fillId="0" borderId="0"/>
    <xf numFmtId="9" fontId="3" fillId="0" borderId="0" applyFont="0" applyFill="0" applyBorder="0" applyAlignment="0" applyProtection="0"/>
    <xf numFmtId="43" fontId="3" fillId="0" borderId="0" applyFont="0" applyFill="0" applyBorder="0" applyAlignment="0" applyProtection="0"/>
    <xf numFmtId="0" fontId="4" fillId="0" borderId="0"/>
    <xf numFmtId="0" fontId="6" fillId="0" borderId="0" applyNumberFormat="0" applyFill="0" applyBorder="0" applyAlignment="0" applyProtection="0"/>
  </cellStyleXfs>
  <cellXfs count="693">
    <xf numFmtId="0" fontId="0" fillId="0" borderId="0" xfId="0"/>
    <xf numFmtId="0" fontId="5" fillId="7" borderId="0" xfId="3" applyFont="1" applyFill="1"/>
    <xf numFmtId="0" fontId="8" fillId="7" borderId="0" xfId="3" applyFont="1" applyFill="1"/>
    <xf numFmtId="0" fontId="11" fillId="7" borderId="0" xfId="3" applyFont="1" applyFill="1"/>
    <xf numFmtId="0" fontId="8" fillId="9" borderId="0" xfId="3" applyFont="1" applyFill="1"/>
    <xf numFmtId="0" fontId="8" fillId="7" borderId="0" xfId="3" quotePrefix="1" applyFont="1" applyFill="1"/>
    <xf numFmtId="0" fontId="8" fillId="7" borderId="0" xfId="3" applyFont="1" applyFill="1" applyBorder="1"/>
    <xf numFmtId="43" fontId="2" fillId="0" borderId="0" xfId="2" applyFont="1" applyAlignment="1" applyProtection="1">
      <alignment horizontal="left" vertical="center" indent="1"/>
      <protection hidden="1"/>
    </xf>
    <xf numFmtId="43" fontId="2" fillId="0" borderId="0" xfId="2" applyFont="1" applyFill="1" applyAlignment="1" applyProtection="1">
      <alignment horizontal="left" vertical="center" indent="1"/>
      <protection hidden="1"/>
    </xf>
    <xf numFmtId="43" fontId="2" fillId="0" borderId="0" xfId="2" applyFont="1" applyAlignment="1" applyProtection="1">
      <alignment horizontal="left" vertical="center" wrapText="1" indent="1"/>
      <protection locked="0"/>
    </xf>
    <xf numFmtId="43" fontId="2" fillId="2" borderId="0" xfId="2" applyFont="1" applyFill="1" applyAlignment="1" applyProtection="1">
      <alignment horizontal="left" vertical="center" indent="1"/>
      <protection hidden="1"/>
    </xf>
    <xf numFmtId="43" fontId="2" fillId="0" borderId="0" xfId="2" applyFont="1" applyAlignment="1" applyProtection="1">
      <alignment horizontal="left" vertical="center" indent="1"/>
      <protection locked="0"/>
    </xf>
    <xf numFmtId="43" fontId="2" fillId="5" borderId="1" xfId="2" applyFont="1" applyFill="1" applyBorder="1" applyAlignment="1" applyProtection="1">
      <alignment horizontal="left" vertical="center" indent="1"/>
    </xf>
    <xf numFmtId="43" fontId="2" fillId="5" borderId="1" xfId="2" applyFont="1" applyFill="1" applyBorder="1" applyAlignment="1" applyProtection="1">
      <alignment horizontal="left" vertical="center" indent="1"/>
      <protection hidden="1"/>
    </xf>
    <xf numFmtId="43" fontId="2" fillId="4" borderId="1" xfId="2" applyFont="1" applyFill="1" applyBorder="1" applyAlignment="1" applyProtection="1">
      <alignment horizontal="left" vertical="center" indent="1"/>
      <protection hidden="1"/>
    </xf>
    <xf numFmtId="43" fontId="2" fillId="6" borderId="0" xfId="2" applyFont="1" applyFill="1" applyAlignment="1" applyProtection="1">
      <alignment horizontal="left" vertical="center" indent="1"/>
      <protection hidden="1"/>
    </xf>
    <xf numFmtId="43" fontId="2" fillId="3" borderId="0" xfId="2" applyFont="1" applyFill="1" applyAlignment="1" applyProtection="1">
      <alignment horizontal="left" vertical="center" indent="1"/>
      <protection hidden="1"/>
    </xf>
    <xf numFmtId="43" fontId="2" fillId="0" borderId="0" xfId="2" applyFont="1" applyProtection="1">
      <protection hidden="1"/>
    </xf>
    <xf numFmtId="43" fontId="2" fillId="2" borderId="0" xfId="2" applyFont="1" applyFill="1" applyAlignment="1" applyProtection="1">
      <alignment horizontal="left" vertical="center" indent="1"/>
      <protection locked="0"/>
    </xf>
    <xf numFmtId="43" fontId="8" fillId="0" borderId="0" xfId="2" applyFont="1"/>
    <xf numFmtId="43" fontId="0" fillId="0" borderId="0" xfId="2" applyFont="1"/>
    <xf numFmtId="43" fontId="8" fillId="0" borderId="0" xfId="2" applyFont="1" applyBorder="1"/>
    <xf numFmtId="43" fontId="8" fillId="0" borderId="5" xfId="2" applyFont="1" applyBorder="1"/>
    <xf numFmtId="43" fontId="6" fillId="0" borderId="0" xfId="2" applyFont="1"/>
    <xf numFmtId="43" fontId="8" fillId="0" borderId="16" xfId="2" applyFont="1" applyBorder="1"/>
    <xf numFmtId="43" fontId="8" fillId="0" borderId="18" xfId="2" applyFont="1" applyBorder="1"/>
    <xf numFmtId="164" fontId="2" fillId="0" borderId="0" xfId="2" applyNumberFormat="1" applyFont="1" applyAlignment="1" applyProtection="1">
      <alignment horizontal="left" vertical="center" indent="1"/>
      <protection hidden="1"/>
    </xf>
    <xf numFmtId="43" fontId="1" fillId="0" borderId="0" xfId="2" applyFont="1" applyFill="1" applyAlignment="1" applyProtection="1">
      <alignment horizontal="left" vertical="center" indent="1"/>
      <protection hidden="1"/>
    </xf>
    <xf numFmtId="43" fontId="1" fillId="0" borderId="0" xfId="2" applyFont="1" applyAlignment="1" applyProtection="1">
      <alignment horizontal="left" vertical="center" indent="1"/>
      <protection hidden="1"/>
    </xf>
    <xf numFmtId="0" fontId="26" fillId="11" borderId="21" xfId="0" applyFont="1" applyFill="1" applyBorder="1" applyAlignment="1">
      <alignment vertical="center" wrapText="1"/>
    </xf>
    <xf numFmtId="9" fontId="27" fillId="0" borderId="19" xfId="0" applyNumberFormat="1" applyFont="1" applyBorder="1" applyAlignment="1">
      <alignment horizontal="center" vertical="center"/>
    </xf>
    <xf numFmtId="9" fontId="27" fillId="0" borderId="21" xfId="0" applyNumberFormat="1" applyFont="1" applyBorder="1" applyAlignment="1">
      <alignment horizontal="center" vertical="center"/>
    </xf>
    <xf numFmtId="9" fontId="27" fillId="0" borderId="11" xfId="0" applyNumberFormat="1" applyFont="1" applyBorder="1" applyAlignment="1">
      <alignment horizontal="center" vertical="center"/>
    </xf>
    <xf numFmtId="9" fontId="27" fillId="0" borderId="23" xfId="0" applyNumberFormat="1" applyFont="1" applyBorder="1" applyAlignment="1">
      <alignment horizontal="center" vertical="center"/>
    </xf>
    <xf numFmtId="9" fontId="27" fillId="0" borderId="24" xfId="0" applyNumberFormat="1" applyFont="1" applyBorder="1" applyAlignment="1">
      <alignment horizontal="center" vertical="center"/>
    </xf>
    <xf numFmtId="0" fontId="26" fillId="11" borderId="25" xfId="0" applyFont="1" applyFill="1" applyBorder="1" applyAlignment="1">
      <alignment vertical="center" wrapText="1"/>
    </xf>
    <xf numFmtId="0" fontId="26" fillId="11" borderId="19" xfId="0" applyFont="1" applyFill="1" applyBorder="1" applyAlignment="1">
      <alignment vertical="center" wrapText="1"/>
    </xf>
    <xf numFmtId="0" fontId="26" fillId="12" borderId="0" xfId="0" applyFont="1" applyFill="1" applyBorder="1" applyAlignment="1">
      <alignment vertical="center" wrapText="1"/>
    </xf>
    <xf numFmtId="0" fontId="0" fillId="0" borderId="0" xfId="0" applyBorder="1"/>
    <xf numFmtId="0" fontId="25" fillId="0" borderId="0" xfId="0" applyFont="1" applyBorder="1"/>
    <xf numFmtId="0" fontId="0" fillId="0" borderId="2" xfId="0" applyBorder="1"/>
    <xf numFmtId="0" fontId="0" fillId="0" borderId="26" xfId="0" applyBorder="1"/>
    <xf numFmtId="0" fontId="25" fillId="0" borderId="27" xfId="0" applyFont="1" applyBorder="1"/>
    <xf numFmtId="0" fontId="0" fillId="0" borderId="27" xfId="0" applyBorder="1"/>
    <xf numFmtId="0" fontId="0" fillId="0" borderId="20" xfId="0" applyBorder="1"/>
    <xf numFmtId="0" fontId="0" fillId="0" borderId="28" xfId="0" applyBorder="1"/>
    <xf numFmtId="0" fontId="0" fillId="0" borderId="24" xfId="0" applyBorder="1"/>
    <xf numFmtId="0" fontId="0" fillId="0" borderId="29" xfId="0" applyBorder="1"/>
    <xf numFmtId="0" fontId="0" fillId="0" borderId="22" xfId="0" applyBorder="1"/>
    <xf numFmtId="0" fontId="0" fillId="0" borderId="23" xfId="0" applyBorder="1"/>
    <xf numFmtId="0" fontId="0" fillId="12" borderId="0" xfId="0" applyFill="1" applyBorder="1"/>
    <xf numFmtId="9" fontId="27" fillId="12" borderId="0" xfId="0" applyNumberFormat="1" applyFont="1" applyFill="1" applyBorder="1" applyAlignment="1">
      <alignment horizontal="center" vertical="center"/>
    </xf>
    <xf numFmtId="9" fontId="27" fillId="0" borderId="9" xfId="0" applyNumberFormat="1" applyFont="1" applyBorder="1" applyAlignment="1">
      <alignment horizontal="center" vertical="center"/>
    </xf>
    <xf numFmtId="9" fontId="27" fillId="0" borderId="29" xfId="0" applyNumberFormat="1" applyFont="1" applyBorder="1" applyAlignment="1">
      <alignment horizontal="center" vertical="center"/>
    </xf>
    <xf numFmtId="9" fontId="27" fillId="0" borderId="22" xfId="0" applyNumberFormat="1" applyFont="1" applyBorder="1" applyAlignment="1">
      <alignment horizontal="center" vertical="center"/>
    </xf>
    <xf numFmtId="9" fontId="27" fillId="0" borderId="0" xfId="0" applyNumberFormat="1" applyFont="1" applyBorder="1" applyAlignment="1">
      <alignment horizontal="center" vertical="center"/>
    </xf>
    <xf numFmtId="0" fontId="0" fillId="0" borderId="34" xfId="0" applyBorder="1"/>
    <xf numFmtId="0" fontId="0" fillId="0" borderId="37" xfId="0" applyBorder="1"/>
    <xf numFmtId="0" fontId="0" fillId="0" borderId="38" xfId="0" applyBorder="1"/>
    <xf numFmtId="1" fontId="0" fillId="0" borderId="0" xfId="0" applyNumberFormat="1"/>
    <xf numFmtId="2" fontId="0" fillId="0" borderId="0" xfId="0" applyNumberFormat="1"/>
    <xf numFmtId="43" fontId="0" fillId="0" borderId="0" xfId="0" applyNumberFormat="1"/>
    <xf numFmtId="166" fontId="0" fillId="0" borderId="0" xfId="0" applyNumberFormat="1"/>
    <xf numFmtId="9" fontId="0" fillId="0" borderId="0" xfId="1" applyFont="1"/>
    <xf numFmtId="9" fontId="0" fillId="0" borderId="0" xfId="0" applyNumberFormat="1"/>
    <xf numFmtId="0" fontId="0" fillId="0" borderId="36" xfId="0" applyBorder="1"/>
    <xf numFmtId="0" fontId="0" fillId="0" borderId="39" xfId="0" applyBorder="1"/>
    <xf numFmtId="0" fontId="8" fillId="13" borderId="0" xfId="3" applyFont="1" applyFill="1"/>
    <xf numFmtId="0" fontId="7" fillId="7" borderId="0" xfId="4" applyFont="1" applyFill="1" applyBorder="1" applyAlignment="1" applyProtection="1">
      <alignment vertical="center"/>
      <protection hidden="1"/>
    </xf>
    <xf numFmtId="0" fontId="9" fillId="7" borderId="0" xfId="0" applyFont="1" applyFill="1" applyAlignment="1" applyProtection="1">
      <alignment horizontal="right"/>
      <protection hidden="1"/>
    </xf>
    <xf numFmtId="0" fontId="8" fillId="7" borderId="0" xfId="3" applyFont="1" applyFill="1" applyProtection="1">
      <protection hidden="1"/>
    </xf>
    <xf numFmtId="0" fontId="9" fillId="7" borderId="0" xfId="0" applyFont="1" applyFill="1" applyAlignment="1" applyProtection="1">
      <alignment vertical="top" wrapText="1"/>
      <protection hidden="1"/>
    </xf>
    <xf numFmtId="0" fontId="11" fillId="7" borderId="0" xfId="3" applyFont="1" applyFill="1" applyAlignment="1" applyProtection="1">
      <alignment vertical="center" wrapText="1"/>
      <protection hidden="1"/>
    </xf>
    <xf numFmtId="0" fontId="11" fillId="7" borderId="0" xfId="3" applyFont="1" applyFill="1" applyAlignment="1" applyProtection="1">
      <alignment vertical="center"/>
      <protection hidden="1"/>
    </xf>
    <xf numFmtId="0" fontId="9" fillId="7" borderId="0" xfId="0" applyFont="1" applyFill="1" applyAlignment="1" applyProtection="1">
      <alignment horizontal="left" vertical="top"/>
      <protection hidden="1"/>
    </xf>
    <xf numFmtId="0" fontId="13" fillId="7" borderId="0" xfId="0" applyFont="1" applyFill="1" applyAlignment="1" applyProtection="1">
      <alignment horizontal="right"/>
      <protection hidden="1"/>
    </xf>
    <xf numFmtId="0" fontId="11" fillId="7" borderId="0" xfId="3" applyFont="1" applyFill="1" applyBorder="1" applyAlignment="1">
      <alignment horizontal="left"/>
    </xf>
    <xf numFmtId="0" fontId="8" fillId="7" borderId="0" xfId="3" applyFont="1" applyFill="1" applyBorder="1" applyAlignment="1">
      <alignment vertical="center"/>
    </xf>
    <xf numFmtId="0" fontId="15" fillId="7" borderId="0" xfId="3" applyFont="1" applyFill="1" applyBorder="1"/>
    <xf numFmtId="0" fontId="8" fillId="7" borderId="0" xfId="3" applyFont="1" applyFill="1" applyBorder="1" applyAlignment="1">
      <alignment horizontal="center" vertical="center"/>
    </xf>
    <xf numFmtId="0" fontId="8" fillId="7" borderId="0" xfId="3" quotePrefix="1" applyFont="1" applyFill="1" applyBorder="1" applyAlignment="1">
      <alignment horizontal="left" vertical="center"/>
    </xf>
    <xf numFmtId="0" fontId="15" fillId="7" borderId="0" xfId="3" applyFont="1" applyFill="1" applyBorder="1" applyAlignment="1">
      <alignment horizontal="center" vertical="center"/>
    </xf>
    <xf numFmtId="0" fontId="8" fillId="7" borderId="0" xfId="3" applyFont="1" applyFill="1" applyBorder="1" applyAlignment="1">
      <alignment horizontal="left" vertical="center"/>
    </xf>
    <xf numFmtId="0" fontId="16" fillId="7" borderId="0" xfId="3" applyFont="1" applyFill="1" applyBorder="1"/>
    <xf numFmtId="0" fontId="17" fillId="7" borderId="0" xfId="3" applyFont="1" applyFill="1" applyBorder="1"/>
    <xf numFmtId="0" fontId="11" fillId="7" borderId="0" xfId="3" applyFont="1" applyFill="1" applyBorder="1" applyAlignment="1"/>
    <xf numFmtId="0" fontId="8" fillId="7" borderId="0" xfId="3" applyFont="1" applyFill="1" applyBorder="1" applyAlignment="1" applyProtection="1">
      <alignment vertical="center"/>
      <protection hidden="1"/>
    </xf>
    <xf numFmtId="0" fontId="8" fillId="7" borderId="0" xfId="3" applyFont="1" applyFill="1" applyBorder="1" applyProtection="1">
      <protection hidden="1"/>
    </xf>
    <xf numFmtId="0" fontId="38" fillId="7" borderId="0" xfId="0" applyFont="1" applyFill="1"/>
    <xf numFmtId="0" fontId="38" fillId="7" borderId="0" xfId="0" applyFont="1" applyFill="1" applyProtection="1">
      <protection hidden="1"/>
    </xf>
    <xf numFmtId="0" fontId="4" fillId="7" borderId="0" xfId="0" applyFont="1" applyFill="1" applyProtection="1">
      <protection hidden="1"/>
    </xf>
    <xf numFmtId="0" fontId="38" fillId="7" borderId="0" xfId="0" applyFont="1" applyFill="1" applyAlignment="1" applyProtection="1">
      <protection hidden="1"/>
    </xf>
    <xf numFmtId="0" fontId="4" fillId="7" borderId="0" xfId="0" applyFont="1" applyFill="1" applyAlignment="1" applyProtection="1">
      <alignment horizontal="left" vertical="top" wrapText="1"/>
      <protection hidden="1"/>
    </xf>
    <xf numFmtId="0" fontId="4" fillId="7" borderId="0" xfId="0" applyFont="1" applyFill="1" applyAlignment="1" applyProtection="1">
      <alignment horizontal="center" vertical="top" wrapText="1"/>
      <protection hidden="1"/>
    </xf>
    <xf numFmtId="0" fontId="11" fillId="7" borderId="0" xfId="3" applyFont="1" applyFill="1" applyBorder="1" applyAlignment="1">
      <alignment horizontal="left" vertical="center"/>
    </xf>
    <xf numFmtId="0" fontId="8" fillId="7" borderId="0" xfId="3" applyFont="1" applyFill="1" applyBorder="1" applyAlignment="1">
      <alignment horizontal="left"/>
    </xf>
    <xf numFmtId="0" fontId="19" fillId="7" borderId="0" xfId="3" applyFont="1" applyFill="1" applyBorder="1" applyAlignment="1">
      <alignment horizontal="left" vertical="center"/>
    </xf>
    <xf numFmtId="0" fontId="5" fillId="7" borderId="0" xfId="3" applyFont="1" applyFill="1" applyProtection="1">
      <protection hidden="1"/>
    </xf>
    <xf numFmtId="0" fontId="7" fillId="7" borderId="0" xfId="4" applyFont="1" applyFill="1" applyAlignment="1" applyProtection="1">
      <alignment vertical="center"/>
      <protection hidden="1"/>
    </xf>
    <xf numFmtId="0" fontId="10" fillId="7" borderId="0" xfId="3" applyFont="1" applyFill="1" applyProtection="1">
      <protection hidden="1"/>
    </xf>
    <xf numFmtId="0" fontId="9" fillId="7" borderId="0" xfId="0" applyFont="1" applyFill="1" applyAlignment="1" applyProtection="1">
      <alignment horizontal="center" vertical="top"/>
      <protection hidden="1"/>
    </xf>
    <xf numFmtId="0" fontId="11" fillId="7" borderId="0" xfId="3" applyFont="1" applyFill="1" applyProtection="1">
      <protection hidden="1"/>
    </xf>
    <xf numFmtId="0" fontId="11" fillId="7" borderId="0" xfId="3" applyFont="1" applyFill="1" applyAlignment="1" applyProtection="1">
      <alignment horizontal="center" vertical="center" wrapText="1"/>
      <protection hidden="1"/>
    </xf>
    <xf numFmtId="0" fontId="9" fillId="7" borderId="0" xfId="0" applyFont="1" applyFill="1" applyAlignment="1" applyProtection="1">
      <alignment horizontal="left" vertical="center" wrapText="1"/>
      <protection hidden="1"/>
    </xf>
    <xf numFmtId="0" fontId="8" fillId="9" borderId="0" xfId="3" applyFont="1" applyFill="1" applyProtection="1">
      <protection hidden="1"/>
    </xf>
    <xf numFmtId="0" fontId="39" fillId="7" borderId="0" xfId="3" applyFont="1" applyFill="1" applyProtection="1">
      <protection hidden="1"/>
    </xf>
    <xf numFmtId="0" fontId="40" fillId="7" borderId="0" xfId="4" applyFont="1" applyFill="1" applyProtection="1">
      <protection hidden="1"/>
    </xf>
    <xf numFmtId="0" fontId="41" fillId="7" borderId="0" xfId="3" applyFont="1" applyFill="1" applyProtection="1">
      <protection hidden="1"/>
    </xf>
    <xf numFmtId="0" fontId="42" fillId="7" borderId="0" xfId="0" applyFont="1" applyFill="1" applyAlignment="1" applyProtection="1">
      <alignment horizontal="right"/>
      <protection hidden="1"/>
    </xf>
    <xf numFmtId="0" fontId="41" fillId="13" borderId="0" xfId="3" applyFont="1" applyFill="1"/>
    <xf numFmtId="0" fontId="44" fillId="7" borderId="0" xfId="3" applyFont="1" applyFill="1" applyProtection="1">
      <protection hidden="1"/>
    </xf>
    <xf numFmtId="0" fontId="33" fillId="9" borderId="0" xfId="4" applyFont="1" applyFill="1" applyAlignment="1" applyProtection="1">
      <alignment horizontal="center"/>
      <protection hidden="1"/>
    </xf>
    <xf numFmtId="0" fontId="45" fillId="7" borderId="0" xfId="4" applyFont="1" applyFill="1" applyProtection="1">
      <protection hidden="1"/>
    </xf>
    <xf numFmtId="43" fontId="0" fillId="0" borderId="0" xfId="2" applyFont="1" applyBorder="1"/>
    <xf numFmtId="43" fontId="8" fillId="0" borderId="17" xfId="2" applyFont="1" applyBorder="1"/>
    <xf numFmtId="0" fontId="33" fillId="7" borderId="0" xfId="4" applyFont="1" applyFill="1" applyAlignment="1" applyProtection="1">
      <alignment horizontal="center"/>
      <protection hidden="1"/>
    </xf>
    <xf numFmtId="0" fontId="8" fillId="13" borderId="0" xfId="3" applyFont="1" applyFill="1" applyProtection="1">
      <protection hidden="1"/>
    </xf>
    <xf numFmtId="43" fontId="8" fillId="0" borderId="0" xfId="2" applyFont="1" applyAlignment="1" applyProtection="1">
      <alignment horizontal="left" vertical="center"/>
      <protection hidden="1"/>
    </xf>
    <xf numFmtId="43" fontId="2" fillId="0" borderId="0" xfId="2" applyFont="1" applyAlignment="1" applyProtection="1">
      <protection hidden="1"/>
    </xf>
    <xf numFmtId="43" fontId="2" fillId="0" borderId="14" xfId="2" applyFont="1" applyBorder="1" applyAlignment="1" applyProtection="1">
      <alignment horizontal="left" vertical="center" indent="1"/>
      <protection hidden="1"/>
    </xf>
    <xf numFmtId="43" fontId="2" fillId="0" borderId="15" xfId="2" applyFont="1" applyBorder="1" applyAlignment="1" applyProtection="1">
      <alignment horizontal="left" vertical="center" indent="1"/>
      <protection hidden="1"/>
    </xf>
    <xf numFmtId="43" fontId="2" fillId="0" borderId="0" xfId="2" applyFont="1" applyBorder="1" applyAlignment="1" applyProtection="1">
      <alignment horizontal="left" vertical="center" indent="1"/>
      <protection hidden="1"/>
    </xf>
    <xf numFmtId="9" fontId="2" fillId="0" borderId="5" xfId="1" applyFont="1" applyBorder="1" applyAlignment="1" applyProtection="1">
      <alignment horizontal="left" vertical="center" indent="1"/>
      <protection hidden="1"/>
    </xf>
    <xf numFmtId="43" fontId="2" fillId="0" borderId="5" xfId="2" applyFont="1" applyBorder="1" applyAlignment="1" applyProtection="1">
      <alignment horizontal="left" vertical="center" indent="1"/>
      <protection hidden="1"/>
    </xf>
    <xf numFmtId="43" fontId="2" fillId="0" borderId="16" xfId="2" applyFont="1" applyBorder="1" applyAlignment="1" applyProtection="1">
      <alignment horizontal="left" vertical="center" indent="1"/>
      <protection hidden="1"/>
    </xf>
    <xf numFmtId="43" fontId="2" fillId="0" borderId="17" xfId="2" applyFont="1" applyBorder="1" applyAlignment="1" applyProtection="1">
      <alignment horizontal="left" vertical="center" indent="1"/>
      <protection hidden="1"/>
    </xf>
    <xf numFmtId="43" fontId="2" fillId="0" borderId="18" xfId="2" applyFont="1" applyBorder="1" applyAlignment="1" applyProtection="1">
      <alignment horizontal="left" vertical="center" indent="1"/>
      <protection hidden="1"/>
    </xf>
    <xf numFmtId="43" fontId="54" fillId="0" borderId="0" xfId="2" applyFont="1" applyAlignment="1" applyProtection="1">
      <alignment horizontal="left" vertical="center" indent="1"/>
      <protection hidden="1"/>
    </xf>
    <xf numFmtId="0" fontId="2" fillId="0" borderId="0" xfId="2" applyNumberFormat="1" applyFont="1" applyAlignment="1" applyProtection="1">
      <alignment horizontal="left" vertical="center" indent="1"/>
      <protection hidden="1"/>
    </xf>
    <xf numFmtId="43" fontId="2" fillId="0" borderId="0" xfId="2" applyNumberFormat="1" applyFont="1" applyAlignment="1" applyProtection="1">
      <alignment horizontal="left" vertical="center" indent="1"/>
      <protection hidden="1"/>
    </xf>
    <xf numFmtId="43" fontId="2" fillId="3" borderId="0" xfId="2" applyNumberFormat="1" applyFont="1" applyFill="1" applyAlignment="1" applyProtection="1">
      <alignment horizontal="left" vertical="center" indent="1"/>
      <protection hidden="1"/>
    </xf>
    <xf numFmtId="43" fontId="2" fillId="5" borderId="1" xfId="2" applyNumberFormat="1" applyFont="1" applyFill="1" applyBorder="1" applyAlignment="1" applyProtection="1">
      <alignment horizontal="left" vertical="center" indent="1"/>
    </xf>
    <xf numFmtId="43" fontId="2" fillId="5" borderId="1" xfId="2" applyNumberFormat="1" applyFont="1" applyFill="1" applyBorder="1" applyAlignment="1" applyProtection="1">
      <alignment horizontal="left" vertical="center" indent="1"/>
      <protection hidden="1"/>
    </xf>
    <xf numFmtId="0" fontId="55" fillId="7" borderId="0" xfId="4" applyFont="1" applyFill="1"/>
    <xf numFmtId="2" fontId="22" fillId="10" borderId="0" xfId="2" applyNumberFormat="1" applyFont="1" applyFill="1" applyAlignment="1" applyProtection="1">
      <alignment horizontal="center" vertical="center"/>
      <protection hidden="1"/>
    </xf>
    <xf numFmtId="2" fontId="23" fillId="10" borderId="10" xfId="2" applyNumberFormat="1" applyFont="1" applyFill="1" applyBorder="1" applyAlignment="1" applyProtection="1">
      <alignment horizontal="center" vertical="center"/>
      <protection hidden="1"/>
    </xf>
    <xf numFmtId="0" fontId="21" fillId="10" borderId="0" xfId="3" applyFont="1" applyFill="1" applyAlignment="1" applyProtection="1">
      <alignment horizontal="center" vertical="center"/>
      <protection hidden="1"/>
    </xf>
    <xf numFmtId="0" fontId="14" fillId="10" borderId="0" xfId="3" applyFont="1" applyFill="1" applyAlignment="1" applyProtection="1">
      <alignment horizontal="center" vertical="center"/>
      <protection hidden="1"/>
    </xf>
    <xf numFmtId="1" fontId="30" fillId="7" borderId="0" xfId="3" applyNumberFormat="1" applyFont="1" applyFill="1" applyAlignment="1" applyProtection="1">
      <alignment horizontal="right" vertical="center" indent="2"/>
      <protection hidden="1"/>
    </xf>
    <xf numFmtId="0" fontId="32" fillId="7" borderId="0" xfId="4" applyFont="1" applyFill="1" applyAlignment="1" applyProtection="1">
      <alignment vertical="center"/>
      <protection hidden="1"/>
    </xf>
    <xf numFmtId="0" fontId="0" fillId="7" borderId="0" xfId="0" applyFill="1" applyProtection="1">
      <protection hidden="1"/>
    </xf>
    <xf numFmtId="0" fontId="0" fillId="13" borderId="0" xfId="0" applyFill="1" applyBorder="1" applyProtection="1">
      <protection hidden="1"/>
    </xf>
    <xf numFmtId="0" fontId="9" fillId="7" borderId="0" xfId="0" applyFont="1" applyFill="1" applyAlignment="1" applyProtection="1">
      <alignment horizontal="right" vertical="top"/>
      <protection hidden="1"/>
    </xf>
    <xf numFmtId="0" fontId="12" fillId="7" borderId="0" xfId="3" applyFont="1" applyFill="1" applyProtection="1">
      <protection hidden="1"/>
    </xf>
    <xf numFmtId="0" fontId="8" fillId="7" borderId="0" xfId="3" quotePrefix="1" applyFont="1" applyFill="1" applyProtection="1">
      <protection hidden="1"/>
    </xf>
    <xf numFmtId="0" fontId="14" fillId="7" borderId="0" xfId="3" applyFont="1" applyFill="1" applyProtection="1">
      <protection hidden="1"/>
    </xf>
    <xf numFmtId="0" fontId="15" fillId="7" borderId="0" xfId="3" applyFont="1" applyFill="1" applyProtection="1">
      <protection hidden="1"/>
    </xf>
    <xf numFmtId="0" fontId="8" fillId="10" borderId="0" xfId="3" applyFont="1" applyFill="1" applyAlignment="1" applyProtection="1">
      <alignment horizontal="center" vertical="center"/>
      <protection hidden="1"/>
    </xf>
    <xf numFmtId="0" fontId="8" fillId="8" borderId="2" xfId="3" applyFont="1" applyFill="1" applyBorder="1" applyAlignment="1" applyProtection="1">
      <alignment horizontal="center" vertical="center"/>
      <protection locked="0" hidden="1"/>
    </xf>
    <xf numFmtId="0" fontId="8" fillId="10" borderId="0" xfId="3" applyFont="1" applyFill="1" applyProtection="1">
      <protection hidden="1"/>
    </xf>
    <xf numFmtId="0" fontId="16" fillId="7" borderId="0" xfId="3" applyFont="1" applyFill="1" applyAlignment="1" applyProtection="1">
      <alignment vertical="center"/>
      <protection hidden="1"/>
    </xf>
    <xf numFmtId="0" fontId="8" fillId="7" borderId="0" xfId="3" applyFont="1" applyFill="1" applyAlignment="1" applyProtection="1">
      <alignment vertical="center"/>
      <protection hidden="1"/>
    </xf>
    <xf numFmtId="0" fontId="21" fillId="8" borderId="0" xfId="3" applyFont="1" applyFill="1" applyProtection="1">
      <protection hidden="1"/>
    </xf>
    <xf numFmtId="0" fontId="16" fillId="7" borderId="0" xfId="3" applyFont="1" applyFill="1" applyProtection="1">
      <protection hidden="1"/>
    </xf>
    <xf numFmtId="0" fontId="21" fillId="6" borderId="0" xfId="0" applyFont="1" applyFill="1" applyProtection="1">
      <protection hidden="1"/>
    </xf>
    <xf numFmtId="0" fontId="17" fillId="7" borderId="0" xfId="3" applyFont="1" applyFill="1" applyProtection="1">
      <protection hidden="1"/>
    </xf>
    <xf numFmtId="0" fontId="11" fillId="7" borderId="0" xfId="3" applyFont="1" applyFill="1" applyAlignment="1" applyProtection="1">
      <alignment horizontal="left" vertical="center"/>
      <protection hidden="1"/>
    </xf>
    <xf numFmtId="0" fontId="50" fillId="10" borderId="0" xfId="3" applyFont="1" applyFill="1" applyAlignment="1" applyProtection="1">
      <alignment horizontal="center" vertical="center"/>
      <protection hidden="1"/>
    </xf>
    <xf numFmtId="0" fontId="35" fillId="10" borderId="0" xfId="3" applyFont="1" applyFill="1" applyAlignment="1" applyProtection="1">
      <alignment horizontal="left" vertical="center"/>
      <protection hidden="1"/>
    </xf>
    <xf numFmtId="0" fontId="18" fillId="10" borderId="0" xfId="3" applyFont="1" applyFill="1" applyAlignment="1" applyProtection="1">
      <alignment horizontal="left" vertical="center"/>
      <protection hidden="1"/>
    </xf>
    <xf numFmtId="0" fontId="11" fillId="10" borderId="0" xfId="3" applyFont="1" applyFill="1" applyAlignment="1" applyProtection="1">
      <alignment horizontal="left" vertical="center"/>
      <protection hidden="1"/>
    </xf>
    <xf numFmtId="0" fontId="21" fillId="10" borderId="0" xfId="3" applyFont="1" applyFill="1" applyAlignment="1" applyProtection="1">
      <alignment horizontal="left" vertical="center"/>
      <protection hidden="1"/>
    </xf>
    <xf numFmtId="0" fontId="36" fillId="10" borderId="0" xfId="3" applyFont="1" applyFill="1" applyAlignment="1" applyProtection="1">
      <alignment horizontal="left" vertical="center"/>
      <protection hidden="1"/>
    </xf>
    <xf numFmtId="0" fontId="0" fillId="10" borderId="0" xfId="0" applyFill="1" applyAlignment="1" applyProtection="1">
      <alignment horizontal="left" vertical="center"/>
      <protection hidden="1"/>
    </xf>
    <xf numFmtId="0" fontId="51" fillId="10" borderId="0" xfId="3" applyFont="1" applyFill="1" applyAlignment="1" applyProtection="1">
      <alignment horizontal="center" vertical="center"/>
      <protection hidden="1"/>
    </xf>
    <xf numFmtId="0" fontId="51" fillId="10" borderId="0" xfId="3" quotePrefix="1" applyFont="1" applyFill="1" applyAlignment="1" applyProtection="1">
      <alignment horizontal="left" vertical="center"/>
      <protection hidden="1"/>
    </xf>
    <xf numFmtId="0" fontId="51" fillId="10" borderId="0" xfId="3" quotePrefix="1" applyFont="1" applyFill="1" applyBorder="1" applyAlignment="1" applyProtection="1">
      <alignment horizontal="left" vertical="center"/>
      <protection hidden="1"/>
    </xf>
    <xf numFmtId="0" fontId="8" fillId="10" borderId="0" xfId="3" applyFont="1" applyFill="1" applyAlignment="1" applyProtection="1">
      <alignment vertical="center"/>
      <protection hidden="1"/>
    </xf>
    <xf numFmtId="0" fontId="37" fillId="10" borderId="0" xfId="0" applyFont="1" applyFill="1" applyAlignment="1" applyProtection="1">
      <alignment horizontal="left" vertical="center"/>
      <protection hidden="1"/>
    </xf>
    <xf numFmtId="0" fontId="8" fillId="7" borderId="0" xfId="3" applyFont="1" applyFill="1" applyAlignment="1" applyProtection="1">
      <alignment wrapText="1"/>
      <protection hidden="1"/>
    </xf>
    <xf numFmtId="0" fontId="21" fillId="10" borderId="0" xfId="3" quotePrefix="1" applyFont="1" applyFill="1" applyAlignment="1" applyProtection="1">
      <alignment horizontal="left" vertical="center" wrapText="1"/>
      <protection hidden="1"/>
    </xf>
    <xf numFmtId="0" fontId="0" fillId="10" borderId="0" xfId="0" applyFill="1" applyAlignment="1" applyProtection="1">
      <alignment horizontal="left" vertical="center" wrapText="1"/>
      <protection hidden="1"/>
    </xf>
    <xf numFmtId="0" fontId="0" fillId="7" borderId="0" xfId="0" applyFill="1" applyAlignment="1" applyProtection="1">
      <alignment wrapText="1"/>
      <protection hidden="1"/>
    </xf>
    <xf numFmtId="0" fontId="0" fillId="13" borderId="0" xfId="0" applyFill="1" applyBorder="1" applyAlignment="1" applyProtection="1">
      <alignment wrapText="1"/>
      <protection hidden="1"/>
    </xf>
    <xf numFmtId="0" fontId="35" fillId="10" borderId="0" xfId="3" applyFont="1" applyFill="1" applyAlignment="1" applyProtection="1">
      <alignment horizontal="center" vertical="center"/>
      <protection hidden="1"/>
    </xf>
    <xf numFmtId="0" fontId="47" fillId="13" borderId="0" xfId="0" applyFont="1" applyFill="1" applyBorder="1" applyProtection="1">
      <protection hidden="1"/>
    </xf>
    <xf numFmtId="0" fontId="51" fillId="10" borderId="0" xfId="3" applyFont="1" applyFill="1" applyAlignment="1" applyProtection="1">
      <alignment horizontal="left" vertical="center" wrapText="1"/>
      <protection hidden="1"/>
    </xf>
    <xf numFmtId="0" fontId="21" fillId="10" borderId="0" xfId="3" applyFont="1" applyFill="1" applyAlignment="1" applyProtection="1">
      <alignment horizontal="left" vertical="center" wrapText="1"/>
      <protection hidden="1"/>
    </xf>
    <xf numFmtId="0" fontId="23" fillId="10" borderId="11" xfId="3" applyFont="1" applyFill="1" applyBorder="1" applyAlignment="1" applyProtection="1">
      <alignment horizontal="center" vertical="center"/>
      <protection hidden="1"/>
    </xf>
    <xf numFmtId="0" fontId="35" fillId="10" borderId="0" xfId="3" applyFont="1" applyFill="1" applyAlignment="1" applyProtection="1">
      <alignment horizontal="left" vertical="center" wrapText="1"/>
      <protection hidden="1"/>
    </xf>
    <xf numFmtId="0" fontId="23" fillId="10" borderId="0" xfId="3" applyFont="1" applyFill="1" applyAlignment="1" applyProtection="1">
      <alignment horizontal="left" vertical="center" wrapText="1"/>
      <protection hidden="1"/>
    </xf>
    <xf numFmtId="0" fontId="18" fillId="7" borderId="0" xfId="3" applyFont="1" applyFill="1" applyProtection="1">
      <protection hidden="1"/>
    </xf>
    <xf numFmtId="0" fontId="8" fillId="7" borderId="0" xfId="3" applyFont="1" applyFill="1" applyAlignment="1" applyProtection="1">
      <alignment horizontal="center" vertical="center"/>
      <protection hidden="1"/>
    </xf>
    <xf numFmtId="0" fontId="8" fillId="7" borderId="0" xfId="3" quotePrefix="1" applyFont="1" applyFill="1" applyAlignment="1" applyProtection="1">
      <alignment horizontal="left" wrapText="1"/>
      <protection hidden="1"/>
    </xf>
    <xf numFmtId="0" fontId="51" fillId="10" borderId="0" xfId="3" applyFont="1" applyFill="1" applyAlignment="1" applyProtection="1">
      <alignment horizontal="left" vertical="center"/>
      <protection hidden="1"/>
    </xf>
    <xf numFmtId="0" fontId="53" fillId="10" borderId="0" xfId="3" applyFont="1" applyFill="1" applyAlignment="1" applyProtection="1">
      <alignment horizontal="left" vertical="center" wrapText="1"/>
      <protection hidden="1"/>
    </xf>
    <xf numFmtId="1" fontId="51" fillId="10" borderId="0" xfId="3" applyNumberFormat="1" applyFont="1" applyFill="1" applyAlignment="1" applyProtection="1">
      <alignment horizontal="left" vertical="center"/>
      <protection hidden="1"/>
    </xf>
    <xf numFmtId="1" fontId="51" fillId="10" borderId="0" xfId="3" quotePrefix="1" applyNumberFormat="1" applyFont="1" applyFill="1" applyAlignment="1" applyProtection="1">
      <alignment horizontal="left" vertical="center" wrapText="1"/>
      <protection hidden="1"/>
    </xf>
    <xf numFmtId="0" fontId="8" fillId="10" borderId="0" xfId="3" applyFont="1" applyFill="1" applyAlignment="1" applyProtection="1">
      <alignment horizontal="left" vertical="center" wrapText="1"/>
      <protection hidden="1"/>
    </xf>
    <xf numFmtId="0" fontId="8" fillId="7" borderId="0" xfId="3" quotePrefix="1" applyFont="1" applyFill="1" applyAlignment="1" applyProtection="1">
      <alignment horizontal="left" vertical="center" wrapText="1"/>
      <protection hidden="1"/>
    </xf>
    <xf numFmtId="0" fontId="29" fillId="7" borderId="0" xfId="3" applyFont="1" applyFill="1" applyBorder="1" applyAlignment="1" applyProtection="1">
      <alignment horizontal="center" vertical="center"/>
      <protection hidden="1"/>
    </xf>
    <xf numFmtId="0" fontId="46" fillId="13" borderId="0" xfId="3" applyFont="1" applyFill="1" applyBorder="1" applyAlignment="1" applyProtection="1">
      <alignment vertical="center" wrapText="1"/>
      <protection hidden="1"/>
    </xf>
    <xf numFmtId="3" fontId="48" fillId="13" borderId="0" xfId="1" applyNumberFormat="1" applyFont="1" applyFill="1" applyBorder="1" applyAlignment="1" applyProtection="1">
      <alignment vertical="center"/>
      <protection locked="0" hidden="1"/>
    </xf>
    <xf numFmtId="0" fontId="49" fillId="13" borderId="0" xfId="3" applyFont="1" applyFill="1" applyBorder="1" applyAlignment="1" applyProtection="1">
      <alignment vertical="center"/>
      <protection hidden="1"/>
    </xf>
    <xf numFmtId="0" fontId="35" fillId="10" borderId="0" xfId="3" applyFont="1" applyFill="1" applyProtection="1">
      <protection hidden="1"/>
    </xf>
    <xf numFmtId="0" fontId="51" fillId="10" borderId="0" xfId="3" applyFont="1" applyFill="1" applyProtection="1">
      <protection hidden="1"/>
    </xf>
    <xf numFmtId="0" fontId="0" fillId="7" borderId="31" xfId="0" applyFill="1" applyBorder="1" applyProtection="1">
      <protection hidden="1"/>
    </xf>
    <xf numFmtId="0" fontId="28" fillId="7" borderId="0" xfId="3" applyFont="1" applyFill="1" applyProtection="1">
      <protection hidden="1"/>
    </xf>
    <xf numFmtId="0" fontId="53" fillId="10" borderId="0" xfId="3" applyFont="1" applyFill="1" applyBorder="1" applyAlignment="1" applyProtection="1">
      <alignment horizontal="left" vertical="center"/>
      <protection hidden="1"/>
    </xf>
    <xf numFmtId="0" fontId="0" fillId="7" borderId="0" xfId="0" applyFill="1" applyBorder="1" applyProtection="1">
      <protection hidden="1"/>
    </xf>
    <xf numFmtId="0" fontId="6" fillId="7" borderId="0" xfId="4" applyFill="1" applyAlignment="1" applyProtection="1">
      <alignment horizontal="center" vertical="top"/>
      <protection hidden="1"/>
    </xf>
    <xf numFmtId="0" fontId="0" fillId="13" borderId="0" xfId="0" applyFill="1" applyProtection="1">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25" fillId="0" borderId="32" xfId="0" applyFont="1" applyBorder="1"/>
    <xf numFmtId="3" fontId="0" fillId="0" borderId="33" xfId="0" applyNumberFormat="1" applyBorder="1"/>
    <xf numFmtId="0" fontId="25" fillId="0" borderId="34" xfId="0" applyFont="1" applyBorder="1"/>
    <xf numFmtId="43" fontId="0" fillId="0" borderId="35" xfId="0" applyNumberFormat="1" applyBorder="1"/>
    <xf numFmtId="0" fontId="26" fillId="11" borderId="21" xfId="0" quotePrefix="1" applyFont="1" applyFill="1" applyBorder="1" applyAlignment="1">
      <alignment vertical="center" wrapText="1"/>
    </xf>
    <xf numFmtId="0" fontId="51" fillId="10" borderId="0" xfId="3" applyFont="1" applyFill="1" applyAlignment="1" applyProtection="1">
      <alignment horizontal="left" vertical="center" wrapText="1"/>
      <protection hidden="1"/>
    </xf>
    <xf numFmtId="0" fontId="51" fillId="10" borderId="0" xfId="3" applyFont="1" applyFill="1" applyAlignment="1" applyProtection="1">
      <alignment horizontal="left" vertical="center"/>
      <protection hidden="1"/>
    </xf>
    <xf numFmtId="0" fontId="25" fillId="0" borderId="36" xfId="0" applyFont="1" applyBorder="1"/>
    <xf numFmtId="0" fontId="20" fillId="10" borderId="0" xfId="3" applyFont="1" applyFill="1" applyAlignment="1" applyProtection="1">
      <alignment horizontal="left" vertical="center"/>
      <protection hidden="1"/>
    </xf>
    <xf numFmtId="0" fontId="51" fillId="10" borderId="0" xfId="3" applyFont="1" applyFill="1" applyAlignment="1" applyProtection="1">
      <alignment horizontal="left" vertical="center" wrapText="1"/>
      <protection hidden="1"/>
    </xf>
    <xf numFmtId="0" fontId="51" fillId="10" borderId="0" xfId="3" applyFont="1" applyFill="1" applyAlignment="1" applyProtection="1">
      <alignment horizontal="left" vertical="center"/>
      <protection hidden="1"/>
    </xf>
    <xf numFmtId="1" fontId="21" fillId="10" borderId="0" xfId="1" applyNumberFormat="1" applyFont="1" applyFill="1" applyBorder="1" applyAlignment="1" applyProtection="1">
      <alignment horizontal="center" vertical="center"/>
      <protection locked="0" hidden="1"/>
    </xf>
    <xf numFmtId="0" fontId="57" fillId="14" borderId="19" xfId="0" applyFont="1" applyFill="1" applyBorder="1" applyAlignment="1">
      <alignment horizontal="center" vertical="center" wrapText="1"/>
    </xf>
    <xf numFmtId="0" fontId="57" fillId="14" borderId="11" xfId="0" applyFont="1" applyFill="1" applyBorder="1" applyAlignment="1">
      <alignment horizontal="center" vertical="center" wrapText="1"/>
    </xf>
    <xf numFmtId="0" fontId="57" fillId="14" borderId="11" xfId="0" applyFont="1" applyFill="1" applyBorder="1" applyAlignment="1">
      <alignment horizontal="center" vertical="center"/>
    </xf>
    <xf numFmtId="0" fontId="26" fillId="11" borderId="21" xfId="0" applyFont="1" applyFill="1" applyBorder="1" applyAlignment="1">
      <alignment horizontal="center" vertical="center" wrapText="1"/>
    </xf>
    <xf numFmtId="0" fontId="26" fillId="0" borderId="23" xfId="0" applyFont="1" applyBorder="1" applyAlignment="1">
      <alignment horizontal="center" vertical="center" wrapText="1"/>
    </xf>
    <xf numFmtId="0" fontId="27" fillId="0" borderId="23" xfId="0" applyFont="1" applyBorder="1" applyAlignment="1">
      <alignment horizontal="center" vertical="center"/>
    </xf>
    <xf numFmtId="0" fontId="27" fillId="0" borderId="23" xfId="0" applyFont="1" applyBorder="1" applyAlignment="1">
      <alignment horizontal="center" vertical="center" wrapText="1"/>
    </xf>
    <xf numFmtId="0" fontId="26" fillId="11" borderId="0" xfId="0" applyFont="1" applyFill="1" applyBorder="1" applyAlignment="1">
      <alignment horizontal="center" vertical="center" wrapText="1"/>
    </xf>
    <xf numFmtId="0" fontId="0" fillId="0" borderId="0" xfId="0" applyNumberFormat="1"/>
    <xf numFmtId="0" fontId="51" fillId="10" borderId="0" xfId="3" applyFont="1" applyFill="1" applyAlignment="1" applyProtection="1">
      <alignment horizontal="left" vertical="center" wrapText="1"/>
      <protection hidden="1"/>
    </xf>
    <xf numFmtId="0" fontId="51" fillId="10" borderId="0" xfId="3" applyFont="1" applyFill="1" applyAlignment="1" applyProtection="1">
      <alignment horizontal="left" vertical="center"/>
      <protection hidden="1"/>
    </xf>
    <xf numFmtId="0" fontId="0" fillId="0" borderId="46" xfId="0" applyBorder="1"/>
    <xf numFmtId="43" fontId="8" fillId="0" borderId="46" xfId="2" applyFont="1" applyBorder="1"/>
    <xf numFmtId="3" fontId="0" fillId="0" borderId="0" xfId="0" applyNumberFormat="1"/>
    <xf numFmtId="10" fontId="0" fillId="0" borderId="0" xfId="0" applyNumberFormat="1"/>
    <xf numFmtId="10" fontId="0" fillId="0" borderId="46" xfId="0" applyNumberFormat="1" applyBorder="1"/>
    <xf numFmtId="0" fontId="25" fillId="0" borderId="0" xfId="0" applyFont="1"/>
    <xf numFmtId="43" fontId="0" fillId="0" borderId="46" xfId="2" applyFont="1" applyBorder="1"/>
    <xf numFmtId="43" fontId="2" fillId="0" borderId="46" xfId="2" applyFont="1" applyBorder="1" applyAlignment="1" applyProtection="1">
      <alignment horizontal="left" vertical="center" indent="1"/>
      <protection hidden="1"/>
    </xf>
    <xf numFmtId="0" fontId="0" fillId="0" borderId="44" xfId="0" applyBorder="1"/>
    <xf numFmtId="0" fontId="0" fillId="0" borderId="47" xfId="0" applyBorder="1"/>
    <xf numFmtId="0" fontId="0" fillId="0" borderId="45" xfId="0" applyBorder="1"/>
    <xf numFmtId="0" fontId="0" fillId="0" borderId="42" xfId="0" applyBorder="1"/>
    <xf numFmtId="9" fontId="0" fillId="0" borderId="40" xfId="1" applyFont="1" applyBorder="1"/>
    <xf numFmtId="9" fontId="0" fillId="0" borderId="35" xfId="1" applyFont="1" applyBorder="1"/>
    <xf numFmtId="167" fontId="0" fillId="0" borderId="0" xfId="1" applyNumberFormat="1" applyFont="1"/>
    <xf numFmtId="10" fontId="0" fillId="0" borderId="0" xfId="1" applyNumberFormat="1" applyFont="1"/>
    <xf numFmtId="0" fontId="8" fillId="0" borderId="0" xfId="3" applyFont="1"/>
    <xf numFmtId="0" fontId="0" fillId="12" borderId="46" xfId="0" applyFill="1" applyBorder="1"/>
    <xf numFmtId="0" fontId="8" fillId="0" borderId="0" xfId="3" applyFont="1" applyBorder="1"/>
    <xf numFmtId="0" fontId="8" fillId="15" borderId="0" xfId="3" applyFont="1" applyFill="1"/>
    <xf numFmtId="0" fontId="6" fillId="0" borderId="0" xfId="4"/>
    <xf numFmtId="168" fontId="0" fillId="0" borderId="0" xfId="0" applyNumberFormat="1"/>
    <xf numFmtId="10" fontId="8" fillId="0" borderId="0" xfId="1" applyNumberFormat="1" applyFont="1"/>
    <xf numFmtId="0" fontId="0" fillId="0" borderId="0" xfId="0" applyFill="1" applyBorder="1"/>
    <xf numFmtId="2" fontId="8" fillId="0" borderId="0" xfId="3" applyNumberFormat="1" applyFont="1"/>
    <xf numFmtId="3" fontId="8" fillId="0" borderId="0" xfId="3" applyNumberFormat="1" applyFont="1"/>
    <xf numFmtId="2" fontId="8" fillId="0" borderId="0" xfId="3" applyNumberFormat="1" applyFont="1" applyFill="1"/>
    <xf numFmtId="10" fontId="8" fillId="0" borderId="0" xfId="1" applyNumberFormat="1" applyFont="1" applyFill="1"/>
    <xf numFmtId="0" fontId="8" fillId="0" borderId="0" xfId="3" applyFont="1" applyFill="1"/>
    <xf numFmtId="0" fontId="8" fillId="12" borderId="46" xfId="3" applyFont="1" applyFill="1" applyBorder="1"/>
    <xf numFmtId="0" fontId="0" fillId="0" borderId="48" xfId="0" applyBorder="1"/>
    <xf numFmtId="0" fontId="8" fillId="0" borderId="46" xfId="3" applyFont="1" applyBorder="1"/>
    <xf numFmtId="0" fontId="19" fillId="0" borderId="0" xfId="3" applyFont="1"/>
    <xf numFmtId="10" fontId="19" fillId="0" borderId="0" xfId="1" applyNumberFormat="1" applyFont="1"/>
    <xf numFmtId="43" fontId="24" fillId="0" borderId="0" xfId="2" applyFont="1" applyAlignment="1" applyProtection="1">
      <alignment horizontal="left" vertical="center" indent="1"/>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11" fillId="7" borderId="0" xfId="3" applyFont="1" applyFill="1" applyAlignment="1" applyProtection="1">
      <alignment horizontal="left" vertical="center"/>
      <protection hidden="1"/>
    </xf>
    <xf numFmtId="0" fontId="51" fillId="10" borderId="0" xfId="3" applyFont="1" applyFill="1" applyAlignment="1" applyProtection="1">
      <alignment horizontal="left" vertical="center" wrapText="1"/>
      <protection hidden="1"/>
    </xf>
    <xf numFmtId="43" fontId="19" fillId="0" borderId="13" xfId="2" applyFont="1" applyBorder="1" applyAlignment="1">
      <alignment horizontal="center"/>
    </xf>
    <xf numFmtId="43" fontId="19" fillId="0" borderId="12" xfId="2" applyFont="1" applyBorder="1" applyAlignment="1">
      <alignment horizontal="center"/>
    </xf>
    <xf numFmtId="43" fontId="19" fillId="0" borderId="14" xfId="2" applyFont="1" applyBorder="1" applyAlignment="1">
      <alignment horizontal="center"/>
    </xf>
    <xf numFmtId="0" fontId="0" fillId="7" borderId="0" xfId="0" applyFont="1" applyFill="1" applyProtection="1">
      <protection hidden="1"/>
    </xf>
    <xf numFmtId="0" fontId="21" fillId="10" borderId="0" xfId="1" applyNumberFormat="1" applyFont="1" applyFill="1" applyBorder="1" applyAlignment="1" applyProtection="1">
      <alignment horizontal="center" vertical="center"/>
      <protection hidden="1"/>
    </xf>
    <xf numFmtId="0" fontId="8" fillId="10" borderId="0" xfId="3" applyFont="1" applyFill="1" applyBorder="1" applyAlignment="1" applyProtection="1">
      <alignment vertical="center"/>
      <protection hidden="1"/>
    </xf>
    <xf numFmtId="0" fontId="51" fillId="10" borderId="0" xfId="1" applyNumberFormat="1" applyFont="1" applyFill="1" applyBorder="1" applyAlignment="1" applyProtection="1">
      <alignment horizontal="left" vertical="center"/>
      <protection hidden="1"/>
    </xf>
    <xf numFmtId="43" fontId="2" fillId="0" borderId="0" xfId="2" applyFont="1" applyFill="1" applyBorder="1" applyAlignment="1" applyProtection="1">
      <alignment horizontal="left" vertical="center" indent="1"/>
      <protection hidden="1"/>
    </xf>
    <xf numFmtId="0" fontId="7" fillId="7" borderId="0" xfId="4" applyFont="1" applyFill="1" applyAlignment="1" applyProtection="1">
      <alignment horizontal="center" vertical="center"/>
      <protection hidden="1"/>
    </xf>
    <xf numFmtId="0" fontId="58" fillId="7" borderId="0" xfId="3" applyFont="1" applyFill="1" applyAlignment="1" applyProtection="1">
      <alignment vertical="center"/>
      <protection hidden="1"/>
    </xf>
    <xf numFmtId="0" fontId="58" fillId="7" borderId="0" xfId="0" applyFont="1" applyFill="1" applyProtection="1">
      <protection hidden="1"/>
    </xf>
    <xf numFmtId="0" fontId="58" fillId="7" borderId="0" xfId="3" applyFont="1" applyFill="1" applyAlignment="1" applyProtection="1">
      <alignment horizontal="left"/>
      <protection hidden="1"/>
    </xf>
    <xf numFmtId="0" fontId="0" fillId="7" borderId="0" xfId="0" applyFill="1" applyProtection="1"/>
    <xf numFmtId="0" fontId="0" fillId="16" borderId="0" xfId="0" applyFill="1" applyProtection="1"/>
    <xf numFmtId="0" fontId="8" fillId="17" borderId="0" xfId="3" applyFont="1" applyFill="1"/>
    <xf numFmtId="0" fontId="0" fillId="17" borderId="0" xfId="0" applyFill="1" applyProtection="1"/>
    <xf numFmtId="0" fontId="14" fillId="7" borderId="0" xfId="3" applyFont="1" applyFill="1"/>
    <xf numFmtId="0" fontId="15" fillId="7" borderId="0" xfId="3" applyFont="1" applyFill="1"/>
    <xf numFmtId="0" fontId="8" fillId="10" borderId="0" xfId="3" applyFont="1" applyFill="1" applyAlignment="1">
      <alignment horizontal="center" vertical="center"/>
    </xf>
    <xf numFmtId="0" fontId="8" fillId="8" borderId="2" xfId="3" applyFont="1" applyFill="1" applyBorder="1" applyAlignment="1" applyProtection="1">
      <alignment horizontal="center" vertical="center"/>
      <protection locked="0"/>
    </xf>
    <xf numFmtId="0" fontId="8" fillId="10" borderId="0" xfId="3" applyFont="1" applyFill="1"/>
    <xf numFmtId="0" fontId="8" fillId="8" borderId="41" xfId="3" applyFont="1" applyFill="1" applyBorder="1" applyAlignment="1" applyProtection="1">
      <alignment horizontal="center" vertical="center"/>
      <protection locked="0"/>
    </xf>
    <xf numFmtId="0" fontId="8" fillId="10" borderId="0" xfId="3" quotePrefix="1" applyFont="1" applyFill="1" applyAlignment="1">
      <alignment horizontal="left" vertical="center"/>
    </xf>
    <xf numFmtId="0" fontId="8" fillId="10" borderId="0" xfId="3" quotePrefix="1" applyFont="1" applyFill="1" applyBorder="1" applyAlignment="1">
      <alignment horizontal="left" vertical="center"/>
    </xf>
    <xf numFmtId="0" fontId="8" fillId="7" borderId="0" xfId="3" applyFont="1" applyFill="1" applyAlignment="1">
      <alignment vertical="center"/>
    </xf>
    <xf numFmtId="1" fontId="60" fillId="7" borderId="0" xfId="3" applyNumberFormat="1" applyFont="1" applyFill="1" applyAlignment="1" applyProtection="1">
      <alignment horizontal="right" vertical="center" indent="2"/>
      <protection hidden="1"/>
    </xf>
    <xf numFmtId="1" fontId="60" fillId="7" borderId="0" xfId="3" applyNumberFormat="1" applyFont="1" applyFill="1" applyAlignment="1">
      <alignment horizontal="right" vertical="center" indent="2"/>
    </xf>
    <xf numFmtId="0" fontId="0" fillId="10" borderId="0" xfId="0" applyFill="1" applyProtection="1"/>
    <xf numFmtId="0" fontId="8" fillId="10" borderId="0" xfId="3" applyFont="1" applyFill="1" applyBorder="1" applyAlignment="1">
      <alignment vertical="center"/>
    </xf>
    <xf numFmtId="0" fontId="0" fillId="10" borderId="0" xfId="0" applyFill="1" applyBorder="1" applyProtection="1"/>
    <xf numFmtId="0" fontId="0" fillId="0" borderId="0" xfId="0" applyProtection="1"/>
    <xf numFmtId="3" fontId="21" fillId="10" borderId="12" xfId="2" applyNumberFormat="1" applyFont="1" applyFill="1" applyBorder="1" applyAlignment="1" applyProtection="1">
      <alignment vertical="center"/>
      <protection locked="0"/>
    </xf>
    <xf numFmtId="0" fontId="8" fillId="10" borderId="0" xfId="3" applyFont="1" applyFill="1" applyBorder="1"/>
    <xf numFmtId="0" fontId="34" fillId="10" borderId="0" xfId="0" applyFont="1" applyFill="1" applyBorder="1" applyAlignment="1" applyProtection="1"/>
    <xf numFmtId="0" fontId="34" fillId="7" borderId="0" xfId="0" applyFont="1" applyFill="1" applyBorder="1" applyAlignment="1" applyProtection="1"/>
    <xf numFmtId="0" fontId="19" fillId="10" borderId="0" xfId="0" applyFont="1" applyFill="1" applyBorder="1" applyAlignment="1" applyProtection="1">
      <alignment wrapText="1"/>
      <protection hidden="1"/>
    </xf>
    <xf numFmtId="0" fontId="19" fillId="10" borderId="0" xfId="3" applyFont="1" applyFill="1" applyBorder="1" applyAlignment="1" applyProtection="1">
      <alignment vertical="center"/>
      <protection hidden="1"/>
    </xf>
    <xf numFmtId="0" fontId="34" fillId="7" borderId="0" xfId="3" applyFont="1" applyFill="1" applyAlignment="1"/>
    <xf numFmtId="0" fontId="8" fillId="10" borderId="0" xfId="3" applyFont="1" applyFill="1" applyBorder="1" applyAlignment="1"/>
    <xf numFmtId="0" fontId="19" fillId="10" borderId="0" xfId="3" applyFont="1" applyFill="1" applyBorder="1" applyAlignment="1" applyProtection="1">
      <alignment vertical="center" wrapText="1"/>
      <protection hidden="1"/>
    </xf>
    <xf numFmtId="0" fontId="19" fillId="7" borderId="0" xfId="3" applyFont="1" applyFill="1" applyAlignment="1">
      <alignment vertical="center"/>
    </xf>
    <xf numFmtId="0" fontId="21" fillId="7" borderId="0" xfId="3" applyFont="1" applyFill="1" applyBorder="1" applyAlignment="1" applyProtection="1">
      <alignment vertical="center"/>
      <protection locked="0"/>
    </xf>
    <xf numFmtId="0" fontId="7" fillId="7" borderId="0" xfId="4" applyFont="1" applyFill="1" applyBorder="1" applyAlignment="1">
      <alignment horizontal="center" vertical="center"/>
    </xf>
    <xf numFmtId="0" fontId="34" fillId="16" borderId="0" xfId="3" applyFont="1" applyFill="1" applyAlignment="1"/>
    <xf numFmtId="0" fontId="19" fillId="16" borderId="0" xfId="3" applyFont="1" applyFill="1" applyAlignment="1">
      <alignment vertical="center"/>
    </xf>
    <xf numFmtId="0" fontId="34" fillId="16" borderId="0" xfId="0" applyFont="1" applyFill="1" applyBorder="1" applyAlignment="1" applyProtection="1"/>
    <xf numFmtId="0" fontId="8" fillId="16" borderId="0" xfId="3" applyFont="1" applyFill="1" applyBorder="1" applyAlignment="1">
      <alignment vertical="center"/>
    </xf>
    <xf numFmtId="0" fontId="8" fillId="16" borderId="0" xfId="3" applyFont="1" applyFill="1" applyBorder="1" applyAlignment="1">
      <alignment horizontal="center" vertical="center"/>
    </xf>
    <xf numFmtId="0" fontId="19" fillId="16" borderId="0" xfId="3" applyFont="1" applyFill="1" applyAlignment="1">
      <alignment vertical="center" wrapText="1"/>
    </xf>
    <xf numFmtId="0" fontId="19" fillId="16" borderId="0" xfId="0" applyFont="1" applyFill="1" applyAlignment="1" applyProtection="1">
      <alignment vertical="center" wrapText="1"/>
    </xf>
    <xf numFmtId="0" fontId="19" fillId="16" borderId="0" xfId="3" applyFont="1" applyFill="1" applyAlignment="1">
      <alignment wrapText="1"/>
    </xf>
    <xf numFmtId="0" fontId="8" fillId="16" borderId="0" xfId="3" applyFont="1" applyFill="1" applyAlignment="1"/>
    <xf numFmtId="0" fontId="34" fillId="16" borderId="0" xfId="0" applyFont="1" applyFill="1" applyBorder="1" applyAlignment="1" applyProtection="1">
      <alignment horizontal="center"/>
    </xf>
    <xf numFmtId="0" fontId="21" fillId="16" borderId="0" xfId="3" applyFont="1" applyFill="1" applyBorder="1" applyAlignment="1" applyProtection="1">
      <alignment vertical="center"/>
      <protection locked="0"/>
    </xf>
    <xf numFmtId="0" fontId="8" fillId="16" borderId="0" xfId="3" applyFont="1" applyFill="1"/>
    <xf numFmtId="0" fontId="7" fillId="16" borderId="0" xfId="4" applyFont="1" applyFill="1" applyAlignment="1">
      <alignment horizontal="center" vertical="top"/>
    </xf>
    <xf numFmtId="1" fontId="21" fillId="10" borderId="0" xfId="1" applyNumberFormat="1" applyFont="1" applyFill="1" applyBorder="1" applyAlignment="1" applyProtection="1">
      <alignment horizontal="center" vertical="center"/>
      <protection hidden="1"/>
    </xf>
    <xf numFmtId="0" fontId="0" fillId="7" borderId="0" xfId="0" applyFill="1" applyBorder="1" applyProtection="1"/>
    <xf numFmtId="0" fontId="19" fillId="10" borderId="0" xfId="0" applyFont="1" applyFill="1" applyBorder="1" applyAlignment="1" applyProtection="1">
      <alignment wrapText="1"/>
    </xf>
    <xf numFmtId="0" fontId="8" fillId="10" borderId="0" xfId="3" applyFont="1" applyFill="1" applyBorder="1" applyAlignment="1">
      <alignment horizontal="center" vertical="center"/>
    </xf>
    <xf numFmtId="0" fontId="34" fillId="7" borderId="0" xfId="3" applyFont="1" applyFill="1" applyBorder="1" applyAlignment="1"/>
    <xf numFmtId="0" fontId="11" fillId="7" borderId="0" xfId="3" applyFont="1" applyFill="1" applyAlignment="1" applyProtection="1">
      <alignment horizontal="left" vertical="center"/>
      <protection hidden="1"/>
    </xf>
    <xf numFmtId="0" fontId="23" fillId="10" borderId="9" xfId="3" applyFont="1" applyFill="1" applyBorder="1" applyAlignment="1" applyProtection="1">
      <alignment horizontal="left" vertical="center"/>
      <protection hidden="1"/>
    </xf>
    <xf numFmtId="0" fontId="23" fillId="10" borderId="10" xfId="3" applyFont="1" applyFill="1" applyBorder="1" applyAlignment="1" applyProtection="1">
      <alignment horizontal="left" vertical="center"/>
      <protection hidden="1"/>
    </xf>
    <xf numFmtId="0" fontId="62" fillId="18" borderId="26" xfId="0" applyFont="1" applyFill="1" applyBorder="1"/>
    <xf numFmtId="0" fontId="62" fillId="18" borderId="51" xfId="0" applyFont="1" applyFill="1" applyBorder="1"/>
    <xf numFmtId="0" fontId="62" fillId="18" borderId="52" xfId="0" applyFont="1" applyFill="1" applyBorder="1"/>
    <xf numFmtId="0" fontId="0" fillId="19" borderId="26" xfId="0" applyFont="1" applyFill="1" applyBorder="1"/>
    <xf numFmtId="9" fontId="0" fillId="19" borderId="51" xfId="1" applyNumberFormat="1" applyFont="1" applyFill="1" applyBorder="1"/>
    <xf numFmtId="0" fontId="0" fillId="19" borderId="20" xfId="0" applyFont="1" applyFill="1" applyBorder="1"/>
    <xf numFmtId="0" fontId="0" fillId="0" borderId="53" xfId="0" applyFont="1" applyBorder="1"/>
    <xf numFmtId="9" fontId="0" fillId="0" borderId="13" xfId="1" applyNumberFormat="1" applyFont="1" applyBorder="1"/>
    <xf numFmtId="0" fontId="0" fillId="0" borderId="54" xfId="0" applyFont="1" applyBorder="1"/>
    <xf numFmtId="0" fontId="0" fillId="19" borderId="53" xfId="0" applyFont="1" applyFill="1" applyBorder="1"/>
    <xf numFmtId="9" fontId="0" fillId="19" borderId="13" xfId="1" applyNumberFormat="1" applyFont="1" applyFill="1" applyBorder="1"/>
    <xf numFmtId="0" fontId="0" fillId="19" borderId="54" xfId="0" applyFont="1" applyFill="1" applyBorder="1"/>
    <xf numFmtId="0" fontId="0" fillId="19" borderId="55" xfId="0" applyFont="1" applyFill="1" applyBorder="1"/>
    <xf numFmtId="9" fontId="0" fillId="19" borderId="49" xfId="1" applyNumberFormat="1" applyFont="1" applyFill="1" applyBorder="1"/>
    <xf numFmtId="0" fontId="0" fillId="19" borderId="50" xfId="0" applyFont="1" applyFill="1" applyBorder="1"/>
    <xf numFmtId="0" fontId="62" fillId="18" borderId="20" xfId="0" applyFont="1" applyFill="1" applyBorder="1"/>
    <xf numFmtId="9" fontId="0" fillId="19" borderId="52" xfId="1" applyNumberFormat="1" applyFont="1" applyFill="1" applyBorder="1"/>
    <xf numFmtId="9" fontId="0" fillId="0" borderId="56" xfId="1" applyNumberFormat="1" applyFont="1" applyBorder="1"/>
    <xf numFmtId="9" fontId="0" fillId="19" borderId="56" xfId="1" applyNumberFormat="1" applyFont="1" applyFill="1" applyBorder="1"/>
    <xf numFmtId="9" fontId="0" fillId="19" borderId="38" xfId="1" applyNumberFormat="1" applyFont="1" applyFill="1" applyBorder="1"/>
    <xf numFmtId="0" fontId="5" fillId="7" borderId="0" xfId="3" applyFont="1" applyFill="1" applyProtection="1"/>
    <xf numFmtId="0" fontId="7" fillId="7" borderId="0" xfId="4" applyFont="1" applyFill="1" applyBorder="1" applyAlignment="1" applyProtection="1">
      <alignment vertical="center"/>
    </xf>
    <xf numFmtId="0" fontId="7" fillId="7" borderId="0" xfId="4" applyFont="1" applyFill="1" applyAlignment="1" applyProtection="1">
      <alignment vertical="center"/>
    </xf>
    <xf numFmtId="0" fontId="8" fillId="7" borderId="0" xfId="3" applyFont="1" applyFill="1" applyProtection="1"/>
    <xf numFmtId="0" fontId="11" fillId="7" borderId="0" xfId="3" applyFont="1" applyFill="1" applyAlignment="1" applyProtection="1">
      <protection hidden="1"/>
    </xf>
    <xf numFmtId="0" fontId="11" fillId="7" borderId="0" xfId="3" applyFont="1" applyFill="1" applyAlignment="1" applyProtection="1"/>
    <xf numFmtId="0" fontId="8" fillId="13" borderId="0" xfId="3" applyFont="1" applyFill="1" applyProtection="1"/>
    <xf numFmtId="0" fontId="11" fillId="7" borderId="0" xfId="3" applyFont="1" applyFill="1" applyProtection="1"/>
    <xf numFmtId="0" fontId="11" fillId="7" borderId="0" xfId="3" applyFont="1" applyFill="1" applyAlignment="1" applyProtection="1">
      <alignment vertical="center"/>
    </xf>
    <xf numFmtId="0" fontId="12" fillId="7" borderId="0" xfId="3" applyFont="1" applyFill="1" applyProtection="1"/>
    <xf numFmtId="0" fontId="8" fillId="9" borderId="0" xfId="3" applyFont="1" applyFill="1" applyProtection="1"/>
    <xf numFmtId="0" fontId="8" fillId="7" borderId="0" xfId="3" applyFont="1" applyFill="1" applyAlignment="1" applyProtection="1">
      <alignment vertical="center"/>
    </xf>
    <xf numFmtId="0" fontId="14" fillId="7" borderId="0" xfId="3" applyFont="1" applyFill="1" applyProtection="1"/>
    <xf numFmtId="0" fontId="15" fillId="7" borderId="0" xfId="3" applyFont="1" applyFill="1" applyProtection="1"/>
    <xf numFmtId="0" fontId="15" fillId="10" borderId="0" xfId="3" quotePrefix="1" applyFont="1" applyFill="1" applyBorder="1" applyAlignment="1" applyProtection="1">
      <alignment horizontal="left" vertical="center"/>
      <protection hidden="1"/>
    </xf>
    <xf numFmtId="0" fontId="15" fillId="10" borderId="0" xfId="3" quotePrefix="1" applyFont="1" applyFill="1" applyAlignment="1" applyProtection="1">
      <alignment horizontal="left" vertical="center"/>
      <protection hidden="1"/>
    </xf>
    <xf numFmtId="0" fontId="16" fillId="7" borderId="0" xfId="3" applyFont="1" applyFill="1" applyAlignment="1" applyProtection="1">
      <alignment vertical="center"/>
    </xf>
    <xf numFmtId="1" fontId="17" fillId="7" borderId="0" xfId="3" applyNumberFormat="1" applyFont="1" applyFill="1" applyAlignment="1" applyProtection="1">
      <alignment horizontal="right" vertical="center" indent="2"/>
    </xf>
    <xf numFmtId="0" fontId="8" fillId="7" borderId="0" xfId="3" applyFont="1" applyFill="1" applyAlignment="1" applyProtection="1">
      <alignment wrapText="1"/>
    </xf>
    <xf numFmtId="0" fontId="8" fillId="13" borderId="0" xfId="3" applyFont="1" applyFill="1" applyAlignment="1" applyProtection="1">
      <alignment wrapText="1"/>
    </xf>
    <xf numFmtId="0" fontId="8" fillId="10" borderId="0" xfId="3" applyFont="1" applyFill="1" applyBorder="1" applyAlignment="1" applyProtection="1">
      <alignment horizontal="center" vertical="center"/>
    </xf>
    <xf numFmtId="0" fontId="8" fillId="10" borderId="0" xfId="3" applyFont="1" applyFill="1" applyAlignment="1" applyProtection="1">
      <alignment horizontal="left" vertical="center"/>
    </xf>
    <xf numFmtId="0" fontId="64" fillId="10" borderId="0" xfId="3" applyFont="1" applyFill="1" applyAlignment="1" applyProtection="1">
      <alignment vertical="center"/>
    </xf>
    <xf numFmtId="0" fontId="8" fillId="10" borderId="0" xfId="3" applyFont="1" applyFill="1" applyAlignment="1" applyProtection="1">
      <alignment horizontal="left"/>
      <protection hidden="1"/>
    </xf>
    <xf numFmtId="0" fontId="8" fillId="10" borderId="0" xfId="3" applyFont="1" applyFill="1" applyAlignment="1" applyProtection="1">
      <alignment horizontal="center" vertical="center"/>
    </xf>
    <xf numFmtId="169" fontId="8" fillId="8" borderId="2" xfId="2" applyNumberFormat="1" applyFont="1" applyFill="1" applyBorder="1" applyAlignment="1" applyProtection="1">
      <alignment horizontal="center" vertical="center"/>
      <protection locked="0"/>
    </xf>
    <xf numFmtId="4" fontId="8" fillId="10" borderId="0" xfId="3" applyNumberFormat="1" applyFont="1" applyFill="1" applyAlignment="1" applyProtection="1">
      <alignment horizontal="center" vertical="center"/>
      <protection hidden="1"/>
    </xf>
    <xf numFmtId="0" fontId="8" fillId="10" borderId="0" xfId="3" applyFont="1" applyFill="1" applyAlignment="1" applyProtection="1">
      <alignment horizontal="left" vertical="center"/>
      <protection hidden="1"/>
    </xf>
    <xf numFmtId="0" fontId="8" fillId="10" borderId="0" xfId="3" applyFont="1" applyFill="1" applyBorder="1" applyAlignment="1" applyProtection="1">
      <alignment horizontal="left" vertical="center"/>
      <protection hidden="1"/>
    </xf>
    <xf numFmtId="0" fontId="65" fillId="10" borderId="0" xfId="3" applyFont="1" applyFill="1" applyAlignment="1" applyProtection="1">
      <protection hidden="1"/>
    </xf>
    <xf numFmtId="170" fontId="8" fillId="10" borderId="0" xfId="3" applyNumberFormat="1" applyFont="1" applyFill="1" applyAlignment="1" applyProtection="1">
      <alignment vertical="center"/>
      <protection hidden="1"/>
    </xf>
    <xf numFmtId="0" fontId="8" fillId="10" borderId="0" xfId="3" applyFont="1" applyFill="1" applyAlignment="1" applyProtection="1">
      <alignment horizontal="center"/>
      <protection hidden="1"/>
    </xf>
    <xf numFmtId="0" fontId="8" fillId="10" borderId="0" xfId="3" applyFont="1" applyFill="1" applyBorder="1" applyAlignment="1" applyProtection="1">
      <alignment horizontal="center" vertical="center" wrapText="1"/>
    </xf>
    <xf numFmtId="0" fontId="8" fillId="10" borderId="0" xfId="3" applyFont="1" applyFill="1" applyAlignment="1" applyProtection="1">
      <alignment vertical="center"/>
    </xf>
    <xf numFmtId="0" fontId="15" fillId="10" borderId="0" xfId="3" applyFont="1" applyFill="1" applyAlignment="1" applyProtection="1">
      <alignment vertical="center"/>
    </xf>
    <xf numFmtId="0" fontId="8" fillId="10" borderId="10" xfId="3" applyFont="1" applyFill="1" applyBorder="1" applyProtection="1">
      <protection hidden="1"/>
    </xf>
    <xf numFmtId="164" fontId="23" fillId="10" borderId="10" xfId="2" applyNumberFormat="1" applyFont="1" applyFill="1" applyBorder="1" applyAlignment="1" applyProtection="1">
      <alignment horizontal="center" vertical="center"/>
      <protection hidden="1"/>
    </xf>
    <xf numFmtId="0" fontId="23" fillId="10" borderId="11" xfId="3" applyFont="1" applyFill="1" applyBorder="1" applyAlignment="1" applyProtection="1">
      <alignment horizontal="left" vertical="center"/>
      <protection hidden="1"/>
    </xf>
    <xf numFmtId="0" fontId="8" fillId="10" borderId="0" xfId="3" applyFont="1" applyFill="1" applyAlignment="1" applyProtection="1">
      <alignment vertical="center" wrapText="1"/>
      <protection hidden="1"/>
    </xf>
    <xf numFmtId="0" fontId="56" fillId="7" borderId="0" xfId="3" applyFont="1" applyFill="1" applyAlignment="1" applyProtection="1">
      <protection hidden="1"/>
    </xf>
    <xf numFmtId="0" fontId="8" fillId="8" borderId="2" xfId="3" applyFont="1" applyFill="1" applyBorder="1" applyAlignment="1" applyProtection="1">
      <alignment horizontal="center" vertical="center"/>
    </xf>
    <xf numFmtId="0" fontId="14" fillId="10" borderId="0" xfId="3" applyFont="1" applyFill="1" applyAlignment="1" applyProtection="1">
      <alignment vertical="center"/>
    </xf>
    <xf numFmtId="171" fontId="8" fillId="13" borderId="0" xfId="3" applyNumberFormat="1" applyFont="1" applyFill="1" applyProtection="1"/>
    <xf numFmtId="0" fontId="8" fillId="10" borderId="0" xfId="3" applyFont="1" applyFill="1" applyAlignment="1" applyProtection="1">
      <alignment horizontal="center" vertical="center" wrapText="1"/>
      <protection hidden="1"/>
    </xf>
    <xf numFmtId="0" fontId="64" fillId="10" borderId="0" xfId="3" applyFont="1" applyFill="1" applyBorder="1" applyAlignment="1" applyProtection="1">
      <alignment vertical="center"/>
    </xf>
    <xf numFmtId="0" fontId="8" fillId="10" borderId="0" xfId="3" applyFont="1" applyFill="1" applyProtection="1"/>
    <xf numFmtId="0" fontId="8" fillId="10" borderId="0" xfId="3" applyFont="1" applyFill="1" applyAlignment="1" applyProtection="1">
      <alignment horizontal="left" vertical="center" wrapText="1"/>
    </xf>
    <xf numFmtId="0" fontId="15" fillId="10" borderId="0" xfId="3" applyFont="1" applyFill="1" applyAlignment="1" applyProtection="1">
      <alignment horizontal="center" vertical="center"/>
    </xf>
    <xf numFmtId="0" fontId="0" fillId="8" borderId="2" xfId="0" applyFill="1" applyBorder="1" applyAlignment="1" applyProtection="1">
      <alignment horizontal="center" vertical="center"/>
      <protection locked="0"/>
    </xf>
    <xf numFmtId="0" fontId="15" fillId="8" borderId="2" xfId="3" applyFont="1" applyFill="1" applyBorder="1" applyAlignment="1" applyProtection="1">
      <alignment horizontal="center" vertical="center" wrapText="1"/>
    </xf>
    <xf numFmtId="0" fontId="11" fillId="7" borderId="0" xfId="3" applyFont="1" applyFill="1" applyBorder="1" applyAlignment="1" applyProtection="1"/>
    <xf numFmtId="0" fontId="15" fillId="10" borderId="0" xfId="3" applyFont="1" applyFill="1" applyBorder="1" applyAlignment="1" applyProtection="1">
      <alignment vertical="center"/>
    </xf>
    <xf numFmtId="0" fontId="15" fillId="10" borderId="0" xfId="3" applyFont="1" applyFill="1" applyBorder="1" applyAlignment="1" applyProtection="1">
      <alignment horizontal="left" vertical="center" wrapText="1"/>
    </xf>
    <xf numFmtId="0" fontId="8" fillId="10" borderId="0" xfId="3" applyFont="1" applyFill="1" applyBorder="1" applyAlignment="1" applyProtection="1">
      <alignment horizontal="left" vertical="center"/>
    </xf>
    <xf numFmtId="0" fontId="8" fillId="13" borderId="0" xfId="3" applyFont="1" applyFill="1" applyBorder="1" applyProtection="1"/>
    <xf numFmtId="0" fontId="69" fillId="0" borderId="0" xfId="0" applyFont="1"/>
    <xf numFmtId="0" fontId="15" fillId="8" borderId="0" xfId="3" applyNumberFormat="1" applyFont="1" applyFill="1" applyProtection="1">
      <protection locked="0"/>
    </xf>
    <xf numFmtId="0" fontId="70" fillId="0" borderId="0" xfId="0" applyFont="1" applyAlignment="1"/>
    <xf numFmtId="0" fontId="15" fillId="20" borderId="0" xfId="3" applyNumberFormat="1" applyFont="1" applyFill="1" applyProtection="1">
      <protection locked="0"/>
    </xf>
    <xf numFmtId="0" fontId="15" fillId="15" borderId="0" xfId="3" applyNumberFormat="1" applyFont="1" applyFill="1" applyProtection="1">
      <protection locked="0"/>
    </xf>
    <xf numFmtId="0" fontId="71" fillId="0" borderId="0" xfId="0" applyFont="1"/>
    <xf numFmtId="0" fontId="0" fillId="0" borderId="0" xfId="0" applyAlignment="1"/>
    <xf numFmtId="0" fontId="0" fillId="0" borderId="0" xfId="0" applyAlignment="1">
      <alignment horizontal="center" vertical="center"/>
    </xf>
    <xf numFmtId="0" fontId="72" fillId="0" borderId="0" xfId="0" applyFont="1" applyAlignment="1"/>
    <xf numFmtId="0" fontId="0" fillId="0" borderId="0" xfId="0" applyAlignment="1">
      <alignment horizontal="center" vertical="center" wrapText="1"/>
    </xf>
    <xf numFmtId="0" fontId="0" fillId="0" borderId="0" xfId="0" applyAlignment="1">
      <alignment wrapText="1"/>
    </xf>
    <xf numFmtId="0" fontId="0" fillId="0" borderId="0" xfId="0" applyAlignment="1">
      <alignment vertical="center"/>
    </xf>
    <xf numFmtId="0" fontId="73" fillId="0" borderId="0" xfId="0" applyFont="1"/>
    <xf numFmtId="0" fontId="0" fillId="0" borderId="0" xfId="0" applyAlignment="1">
      <alignment horizontal="center"/>
    </xf>
    <xf numFmtId="0" fontId="70" fillId="0" borderId="0" xfId="0" applyFont="1"/>
    <xf numFmtId="0" fontId="70" fillId="0" borderId="0" xfId="0" applyFont="1" applyAlignment="1">
      <alignment horizontal="center"/>
    </xf>
    <xf numFmtId="0" fontId="0" fillId="0" borderId="26" xfId="0" applyBorder="1" applyAlignment="1">
      <alignment horizontal="center"/>
    </xf>
    <xf numFmtId="0" fontId="0" fillId="0" borderId="27" xfId="0" applyBorder="1" applyAlignment="1"/>
    <xf numFmtId="0" fontId="0" fillId="0" borderId="0" xfId="0" applyBorder="1" applyAlignment="1"/>
    <xf numFmtId="0" fontId="0" fillId="0" borderId="22" xfId="0" applyBorder="1" applyAlignment="1"/>
    <xf numFmtId="0" fontId="0" fillId="0" borderId="0" xfId="0" applyFill="1"/>
    <xf numFmtId="0" fontId="8" fillId="0" borderId="0" xfId="3" applyFont="1" applyFill="1" applyAlignment="1" applyProtection="1">
      <alignment horizontal="left" vertical="center" wrapText="1"/>
      <protection hidden="1"/>
    </xf>
    <xf numFmtId="0" fontId="0" fillId="0" borderId="0" xfId="0" applyFill="1" applyAlignment="1">
      <alignment vertical="center"/>
    </xf>
    <xf numFmtId="0" fontId="0" fillId="0" borderId="0" xfId="0" applyFill="1" applyAlignment="1">
      <alignment wrapText="1"/>
    </xf>
    <xf numFmtId="0" fontId="0" fillId="0" borderId="0" xfId="0" applyAlignment="1">
      <alignment horizontal="center" wrapText="1"/>
    </xf>
    <xf numFmtId="0" fontId="9" fillId="7" borderId="0" xfId="0" applyFont="1" applyFill="1" applyAlignment="1" applyProtection="1">
      <alignment vertical="center" wrapText="1"/>
      <protection hidden="1"/>
    </xf>
    <xf numFmtId="0" fontId="64" fillId="10" borderId="0" xfId="3" applyFont="1" applyFill="1" applyAlignment="1" applyProtection="1">
      <protection hidden="1"/>
    </xf>
    <xf numFmtId="0" fontId="8" fillId="10" borderId="0" xfId="3" applyFont="1" applyFill="1" applyAlignment="1" applyProtection="1">
      <protection hidden="1"/>
    </xf>
    <xf numFmtId="0" fontId="19" fillId="10" borderId="9" xfId="3" applyFont="1" applyFill="1" applyBorder="1" applyAlignment="1" applyProtection="1">
      <alignment horizontal="left" vertical="center"/>
      <protection hidden="1"/>
    </xf>
    <xf numFmtId="165" fontId="19" fillId="10" borderId="10" xfId="2" applyNumberFormat="1" applyFont="1" applyFill="1" applyBorder="1" applyAlignment="1" applyProtection="1">
      <alignment horizontal="center" vertical="center"/>
      <protection hidden="1"/>
    </xf>
    <xf numFmtId="0" fontId="0" fillId="0" borderId="0" xfId="0" applyFont="1" applyAlignment="1">
      <alignment wrapText="1"/>
    </xf>
    <xf numFmtId="0" fontId="0" fillId="0" borderId="0" xfId="0" applyAlignment="1">
      <alignment horizontal="left" vertical="center" wrapText="1"/>
    </xf>
    <xf numFmtId="0" fontId="26" fillId="11" borderId="57" xfId="0" applyFont="1" applyFill="1" applyBorder="1" applyAlignment="1">
      <alignment vertical="center" wrapText="1"/>
    </xf>
    <xf numFmtId="9" fontId="27" fillId="0" borderId="57" xfId="0" applyNumberFormat="1" applyFont="1" applyBorder="1" applyAlignment="1">
      <alignment horizontal="center" vertical="center"/>
    </xf>
    <xf numFmtId="9" fontId="27" fillId="0" borderId="58" xfId="0" applyNumberFormat="1" applyFont="1" applyBorder="1" applyAlignment="1">
      <alignment horizontal="center" vertical="center"/>
    </xf>
    <xf numFmtId="0" fontId="70" fillId="0" borderId="0" xfId="0" applyFont="1" applyAlignment="1">
      <alignment horizontal="center"/>
    </xf>
    <xf numFmtId="9" fontId="2" fillId="0" borderId="0" xfId="2" applyNumberFormat="1" applyFont="1" applyAlignment="1" applyProtection="1">
      <alignment horizontal="left" vertical="center" indent="1"/>
      <protection hidden="1"/>
    </xf>
    <xf numFmtId="0" fontId="8" fillId="7" borderId="0" xfId="3" quotePrefix="1" applyFont="1" applyFill="1" applyBorder="1" applyAlignment="1" applyProtection="1">
      <alignment horizontal="left" vertical="center" wrapText="1"/>
      <protection hidden="1"/>
    </xf>
    <xf numFmtId="0" fontId="20" fillId="10" borderId="0" xfId="3" applyFont="1" applyFill="1" applyAlignment="1" applyProtection="1">
      <alignment horizontal="left" vertical="center"/>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11" fillId="7" borderId="0" xfId="3" applyFont="1" applyFill="1" applyAlignment="1" applyProtection="1">
      <alignment horizontal="left" vertical="center"/>
      <protection hidden="1"/>
    </xf>
    <xf numFmtId="0" fontId="52" fillId="10" borderId="0" xfId="3" applyFont="1" applyFill="1" applyAlignment="1" applyProtection="1">
      <alignment horizontal="left" vertical="center"/>
      <protection hidden="1"/>
    </xf>
    <xf numFmtId="0" fontId="52" fillId="10" borderId="5" xfId="3" applyFont="1" applyFill="1" applyBorder="1" applyAlignment="1" applyProtection="1">
      <alignment horizontal="left" vertical="center"/>
      <protection hidden="1"/>
    </xf>
    <xf numFmtId="0" fontId="51" fillId="10" borderId="0" xfId="3" applyFont="1" applyFill="1" applyAlignment="1" applyProtection="1">
      <alignment horizontal="left" vertical="center" wrapText="1"/>
      <protection hidden="1"/>
    </xf>
    <xf numFmtId="0" fontId="51" fillId="10" borderId="0" xfId="3" applyFont="1" applyFill="1" applyAlignment="1" applyProtection="1">
      <alignment horizontal="left" vertical="center"/>
      <protection hidden="1"/>
    </xf>
    <xf numFmtId="0" fontId="51" fillId="10" borderId="0" xfId="3" applyFont="1" applyFill="1" applyBorder="1" applyAlignment="1" applyProtection="1">
      <alignment horizontal="left" vertical="center" wrapText="1"/>
      <protection hidden="1"/>
    </xf>
    <xf numFmtId="0" fontId="51" fillId="10" borderId="0" xfId="3" applyFont="1" applyFill="1" applyAlignment="1" applyProtection="1">
      <alignment horizontal="left" vertical="center" wrapText="1"/>
      <protection hidden="1"/>
    </xf>
    <xf numFmtId="0" fontId="52" fillId="10" borderId="0" xfId="3" applyFont="1" applyFill="1" applyAlignment="1" applyProtection="1">
      <alignment horizontal="left" vertical="center"/>
      <protection hidden="1"/>
    </xf>
    <xf numFmtId="43" fontId="8" fillId="8" borderId="0" xfId="2" applyFont="1" applyFill="1" applyBorder="1"/>
    <xf numFmtId="43" fontId="0" fillId="8" borderId="0" xfId="2" applyFont="1" applyFill="1" applyBorder="1"/>
    <xf numFmtId="43" fontId="8" fillId="8" borderId="17" xfId="2" applyFont="1" applyFill="1" applyBorder="1"/>
    <xf numFmtId="0" fontId="35" fillId="10" borderId="0" xfId="3" applyFont="1" applyFill="1" applyAlignment="1" applyProtection="1">
      <alignment vertical="center"/>
      <protection hidden="1"/>
    </xf>
    <xf numFmtId="0" fontId="50" fillId="10" borderId="0" xfId="3" applyFont="1" applyFill="1" applyAlignment="1" applyProtection="1">
      <alignment horizontal="left" vertical="center"/>
      <protection hidden="1"/>
    </xf>
    <xf numFmtId="0" fontId="52" fillId="10" borderId="0" xfId="3" quotePrefix="1" applyFont="1" applyFill="1" applyAlignment="1" applyProtection="1">
      <alignment horizontal="left" vertical="center"/>
      <protection hidden="1"/>
    </xf>
    <xf numFmtId="0" fontId="52" fillId="10" borderId="0" xfId="3" applyFont="1" applyFill="1" applyAlignment="1" applyProtection="1">
      <alignment horizontal="center" vertical="center"/>
      <protection hidden="1"/>
    </xf>
    <xf numFmtId="43" fontId="2" fillId="0" borderId="0" xfId="2" applyNumberFormat="1" applyFont="1" applyBorder="1" applyAlignment="1" applyProtection="1">
      <alignment horizontal="left" vertical="center" indent="1"/>
      <protection hidden="1"/>
    </xf>
    <xf numFmtId="0" fontId="21" fillId="10" borderId="0" xfId="3" applyFont="1" applyFill="1" applyBorder="1" applyAlignment="1" applyProtection="1">
      <alignment horizontal="left" vertical="center" wrapText="1"/>
      <protection hidden="1"/>
    </xf>
    <xf numFmtId="10" fontId="2" fillId="0" borderId="0" xfId="2" applyNumberFormat="1" applyFont="1" applyAlignment="1" applyProtection="1">
      <alignment horizontal="left" vertical="center" indent="1"/>
      <protection hidden="1"/>
    </xf>
    <xf numFmtId="10" fontId="2" fillId="0" borderId="0" xfId="1" applyNumberFormat="1" applyFont="1" applyAlignment="1" applyProtection="1">
      <alignment horizontal="left" vertical="center" indent="1"/>
      <protection hidden="1"/>
    </xf>
    <xf numFmtId="0" fontId="2" fillId="0" borderId="0" xfId="2" applyNumberFormat="1" applyFont="1" applyBorder="1" applyAlignment="1" applyProtection="1">
      <alignment horizontal="left" vertical="center" indent="1"/>
      <protection hidden="1"/>
    </xf>
    <xf numFmtId="9" fontId="15" fillId="10" borderId="0" xfId="1" applyFont="1" applyFill="1" applyBorder="1" applyAlignment="1" applyProtection="1">
      <alignment horizontal="center" vertical="center" wrapText="1"/>
    </xf>
    <xf numFmtId="0" fontId="22" fillId="10" borderId="0" xfId="3" quotePrefix="1" applyFont="1" applyFill="1" applyAlignment="1" applyProtection="1">
      <alignment horizontal="left" vertical="center"/>
      <protection hidden="1"/>
    </xf>
    <xf numFmtId="0" fontId="14" fillId="10" borderId="0" xfId="3" applyFont="1" applyFill="1" applyBorder="1" applyAlignment="1" applyProtection="1">
      <alignment horizontal="center" vertical="center"/>
      <protection hidden="1"/>
    </xf>
    <xf numFmtId="0" fontId="14" fillId="10" borderId="0" xfId="3" applyFont="1" applyFill="1" applyBorder="1" applyAlignment="1" applyProtection="1">
      <alignment vertical="center"/>
      <protection hidden="1"/>
    </xf>
    <xf numFmtId="0" fontId="21" fillId="7" borderId="0" xfId="0" applyFont="1" applyFill="1" applyProtection="1">
      <protection hidden="1"/>
    </xf>
    <xf numFmtId="0" fontId="21" fillId="7" borderId="0" xfId="3" applyFont="1" applyFill="1" applyProtection="1">
      <protection hidden="1"/>
    </xf>
    <xf numFmtId="0" fontId="20" fillId="10" borderId="0" xfId="3" applyFont="1" applyFill="1" applyAlignment="1" applyProtection="1">
      <alignment horizontal="left" vertical="center"/>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15" fillId="10" borderId="0" xfId="3" quotePrefix="1" applyFont="1" applyFill="1" applyBorder="1" applyAlignment="1" applyProtection="1">
      <alignment horizontal="left" vertical="center"/>
      <protection hidden="1"/>
    </xf>
    <xf numFmtId="0" fontId="75" fillId="7" borderId="0" xfId="3" applyFont="1" applyFill="1" applyProtection="1">
      <protection hidden="1"/>
    </xf>
    <xf numFmtId="0" fontId="76" fillId="7" borderId="0" xfId="3" applyFont="1" applyFill="1" applyAlignment="1" applyProtection="1">
      <alignment vertical="center"/>
    </xf>
    <xf numFmtId="0" fontId="15" fillId="7" borderId="0" xfId="3" quotePrefix="1" applyFont="1" applyFill="1" applyAlignment="1" applyProtection="1">
      <alignment horizontal="left" vertical="center"/>
      <protection hidden="1"/>
    </xf>
    <xf numFmtId="0" fontId="15" fillId="7" borderId="0" xfId="3" quotePrefix="1" applyFont="1" applyFill="1" applyBorder="1" applyAlignment="1" applyProtection="1">
      <alignment horizontal="left" vertical="center"/>
      <protection hidden="1"/>
    </xf>
    <xf numFmtId="0" fontId="8" fillId="10" borderId="0" xfId="3" applyFont="1" applyFill="1" applyAlignment="1" applyProtection="1">
      <alignment horizontal="left"/>
      <protection hidden="1"/>
    </xf>
    <xf numFmtId="3" fontId="8" fillId="10" borderId="0" xfId="2" applyNumberFormat="1" applyFont="1" applyFill="1" applyBorder="1" applyAlignment="1" applyProtection="1">
      <alignment horizontal="center" vertical="center"/>
    </xf>
    <xf numFmtId="3" fontId="8" fillId="10" borderId="0" xfId="3" applyNumberFormat="1" applyFont="1" applyFill="1" applyBorder="1" applyAlignment="1" applyProtection="1">
      <alignment horizontal="center" vertical="center"/>
    </xf>
    <xf numFmtId="170" fontId="8" fillId="10" borderId="0" xfId="3" applyNumberFormat="1" applyFont="1" applyFill="1" applyAlignment="1" applyProtection="1">
      <alignment horizontal="center" vertical="center"/>
      <protection hidden="1"/>
    </xf>
    <xf numFmtId="173" fontId="23" fillId="10" borderId="10" xfId="2" applyNumberFormat="1" applyFont="1" applyFill="1" applyBorder="1" applyAlignment="1" applyProtection="1">
      <alignment horizontal="center" vertical="center"/>
      <protection hidden="1"/>
    </xf>
    <xf numFmtId="0" fontId="15" fillId="10" borderId="0" xfId="3" quotePrefix="1" applyFont="1" applyFill="1" applyBorder="1" applyAlignment="1" applyProtection="1">
      <alignment horizontal="left" vertical="center"/>
      <protection hidden="1"/>
    </xf>
    <xf numFmtId="0" fontId="21" fillId="10" borderId="0" xfId="3" quotePrefix="1" applyFont="1" applyFill="1" applyAlignment="1" applyProtection="1">
      <alignment horizontal="left" vertical="center"/>
      <protection hidden="1"/>
    </xf>
    <xf numFmtId="0" fontId="15" fillId="10" borderId="0" xfId="3" quotePrefix="1" applyFont="1" applyFill="1" applyBorder="1" applyAlignment="1" applyProtection="1">
      <alignment horizontal="left" vertical="center"/>
      <protection hidden="1"/>
    </xf>
    <xf numFmtId="0" fontId="77" fillId="10" borderId="0" xfId="3" applyFont="1" applyFill="1" applyAlignment="1" applyProtection="1">
      <alignment horizontal="center" vertical="center"/>
      <protection hidden="1"/>
    </xf>
    <xf numFmtId="0" fontId="14" fillId="10" borderId="0" xfId="3" quotePrefix="1" applyFont="1" applyFill="1" applyBorder="1" applyAlignment="1" applyProtection="1">
      <alignment horizontal="left" vertical="center"/>
      <protection hidden="1"/>
    </xf>
    <xf numFmtId="0" fontId="8" fillId="0" borderId="0" xfId="2" applyNumberFormat="1" applyFont="1" applyBorder="1"/>
    <xf numFmtId="0" fontId="14" fillId="10" borderId="0" xfId="3" applyFont="1" applyFill="1" applyBorder="1" applyAlignment="1" applyProtection="1">
      <alignment horizontal="center" vertical="center" wrapText="1"/>
    </xf>
    <xf numFmtId="0" fontId="21" fillId="10" borderId="0" xfId="3" quotePrefix="1" applyFont="1" applyFill="1" applyAlignment="1" applyProtection="1">
      <alignment horizontal="left" vertical="center"/>
      <protection hidden="1"/>
    </xf>
    <xf numFmtId="1" fontId="8" fillId="10" borderId="0" xfId="3" applyNumberFormat="1" applyFont="1" applyFill="1" applyBorder="1" applyAlignment="1" applyProtection="1">
      <alignment horizontal="center" vertical="center"/>
    </xf>
    <xf numFmtId="0" fontId="0" fillId="8" borderId="0" xfId="0" applyFill="1"/>
    <xf numFmtId="0" fontId="17" fillId="7" borderId="0" xfId="3" applyFont="1" applyFill="1" applyAlignment="1" applyProtection="1">
      <alignment horizontal="center" vertical="center"/>
      <protection hidden="1"/>
    </xf>
    <xf numFmtId="0" fontId="15" fillId="7" borderId="0" xfId="3" applyFont="1" applyFill="1" applyAlignment="1" applyProtection="1">
      <alignment vertical="center"/>
    </xf>
    <xf numFmtId="0" fontId="80" fillId="7" borderId="0" xfId="3" applyFont="1" applyFill="1" applyAlignment="1" applyProtection="1">
      <protection hidden="1"/>
    </xf>
    <xf numFmtId="0" fontId="0" fillId="13" borderId="0" xfId="0" applyFont="1" applyFill="1" applyProtection="1">
      <protection hidden="1"/>
    </xf>
    <xf numFmtId="0" fontId="8" fillId="7" borderId="0" xfId="3" quotePrefix="1" applyFont="1" applyFill="1" applyBorder="1" applyAlignment="1" applyProtection="1">
      <alignment horizontal="left" vertical="center" wrapText="1"/>
      <protection hidden="1"/>
    </xf>
    <xf numFmtId="0" fontId="11" fillId="7" borderId="0" xfId="3" applyFont="1" applyFill="1" applyAlignment="1" applyProtection="1">
      <alignment horizontal="left" vertical="center"/>
      <protection hidden="1"/>
    </xf>
    <xf numFmtId="0" fontId="8" fillId="10" borderId="0" xfId="3" applyFont="1" applyFill="1" applyAlignment="1" applyProtection="1">
      <alignment horizontal="center" vertical="center" wrapText="1"/>
      <protection hidden="1"/>
    </xf>
    <xf numFmtId="0" fontId="8" fillId="10" borderId="0" xfId="3" applyFont="1" applyFill="1" applyAlignment="1" applyProtection="1">
      <alignment horizontal="left" vertical="center"/>
      <protection hidden="1"/>
    </xf>
    <xf numFmtId="0" fontId="8" fillId="10" borderId="5" xfId="3" applyFont="1" applyFill="1" applyBorder="1" applyAlignment="1" applyProtection="1">
      <alignment horizontal="left" vertical="center"/>
      <protection hidden="1"/>
    </xf>
    <xf numFmtId="0" fontId="8" fillId="10" borderId="0" xfId="3" applyFont="1" applyFill="1" applyAlignment="1" applyProtection="1">
      <alignment horizontal="left"/>
      <protection hidden="1"/>
    </xf>
    <xf numFmtId="0" fontId="15" fillId="10" borderId="0" xfId="3" quotePrefix="1" applyFont="1" applyFill="1" applyBorder="1" applyAlignment="1" applyProtection="1">
      <alignment horizontal="left" vertical="center"/>
      <protection hidden="1"/>
    </xf>
    <xf numFmtId="0" fontId="8" fillId="10" borderId="0" xfId="3" applyFont="1" applyFill="1" applyBorder="1" applyAlignment="1" applyProtection="1">
      <alignment horizontal="center" vertical="center" wrapText="1"/>
      <protection hidden="1"/>
    </xf>
    <xf numFmtId="0" fontId="7" fillId="7" borderId="0" xfId="4" applyFont="1" applyFill="1" applyBorder="1" applyAlignment="1" applyProtection="1">
      <alignment horizontal="center" vertical="center"/>
      <protection hidden="1"/>
    </xf>
    <xf numFmtId="0" fontId="8" fillId="9" borderId="0" xfId="3" applyFont="1" applyFill="1" applyAlignment="1" applyProtection="1">
      <alignment horizontal="center"/>
      <protection hidden="1"/>
    </xf>
    <xf numFmtId="0" fontId="63" fillId="10" borderId="0" xfId="3" applyFont="1" applyFill="1" applyAlignment="1" applyProtection="1">
      <alignment vertical="center"/>
      <protection hidden="1"/>
    </xf>
    <xf numFmtId="0" fontId="16" fillId="7" borderId="0" xfId="3" applyFont="1" applyFill="1" applyAlignment="1" applyProtection="1">
      <alignment horizontal="center" vertical="center"/>
      <protection hidden="1"/>
    </xf>
    <xf numFmtId="1" fontId="17" fillId="7" borderId="0" xfId="3" applyNumberFormat="1" applyFont="1" applyFill="1" applyAlignment="1" applyProtection="1">
      <alignment horizontal="right" vertical="center" indent="2"/>
      <protection hidden="1"/>
    </xf>
    <xf numFmtId="0" fontId="11" fillId="7" borderId="0" xfId="3" applyFont="1" applyFill="1" applyAlignment="1" applyProtection="1">
      <alignment horizontal="left" vertical="center" wrapText="1"/>
      <protection hidden="1"/>
    </xf>
    <xf numFmtId="0" fontId="8" fillId="13" borderId="0" xfId="3" applyFont="1" applyFill="1" applyAlignment="1" applyProtection="1">
      <alignment wrapText="1"/>
      <protection hidden="1"/>
    </xf>
    <xf numFmtId="0" fontId="8" fillId="10" borderId="0" xfId="3" applyFont="1" applyFill="1" applyBorder="1" applyAlignment="1" applyProtection="1">
      <alignment horizontal="center" vertical="center"/>
      <protection hidden="1"/>
    </xf>
    <xf numFmtId="0" fontId="64" fillId="10" borderId="0" xfId="3" applyFont="1" applyFill="1" applyAlignment="1" applyProtection="1">
      <alignment vertical="center"/>
      <protection hidden="1"/>
    </xf>
    <xf numFmtId="169" fontId="8" fillId="8" borderId="2" xfId="2" applyNumberFormat="1" applyFont="1" applyFill="1" applyBorder="1" applyAlignment="1" applyProtection="1">
      <alignment horizontal="center" vertical="center"/>
      <protection locked="0" hidden="1"/>
    </xf>
    <xf numFmtId="4" fontId="14" fillId="10" borderId="0" xfId="3" applyNumberFormat="1" applyFont="1" applyFill="1" applyBorder="1" applyAlignment="1" applyProtection="1">
      <alignment horizontal="center" vertical="center"/>
      <protection hidden="1"/>
    </xf>
    <xf numFmtId="0" fontId="15" fillId="10" borderId="0" xfId="3" applyFont="1" applyFill="1" applyAlignment="1" applyProtection="1">
      <alignment horizontal="center" vertical="center"/>
      <protection hidden="1"/>
    </xf>
    <xf numFmtId="0" fontId="15" fillId="10" borderId="0" xfId="3" applyFont="1" applyFill="1" applyAlignment="1" applyProtection="1">
      <alignment horizontal="left" vertical="center" wrapText="1"/>
      <protection hidden="1"/>
    </xf>
    <xf numFmtId="0" fontId="15" fillId="10" borderId="0" xfId="3" applyFont="1" applyFill="1" applyAlignment="1" applyProtection="1">
      <alignment vertical="center"/>
      <protection hidden="1"/>
    </xf>
    <xf numFmtId="0" fontId="0" fillId="8" borderId="2" xfId="0" applyFill="1" applyBorder="1" applyAlignment="1" applyProtection="1">
      <alignment horizontal="center" vertical="center"/>
      <protection locked="0" hidden="1"/>
    </xf>
    <xf numFmtId="0" fontId="15" fillId="10" borderId="0" xfId="3" applyFont="1" applyFill="1" applyBorder="1" applyAlignment="1" applyProtection="1">
      <alignment horizontal="left" vertical="center" wrapText="1"/>
      <protection hidden="1"/>
    </xf>
    <xf numFmtId="9" fontId="15" fillId="10" borderId="0" xfId="1" applyFont="1" applyFill="1" applyBorder="1" applyAlignment="1" applyProtection="1">
      <alignment horizontal="center" vertical="center" wrapText="1"/>
      <protection hidden="1"/>
    </xf>
    <xf numFmtId="0" fontId="11" fillId="7" borderId="0" xfId="3" applyFont="1" applyFill="1" applyBorder="1" applyAlignment="1" applyProtection="1">
      <protection hidden="1"/>
    </xf>
    <xf numFmtId="0" fontId="15" fillId="10" borderId="0" xfId="3" applyFont="1" applyFill="1" applyBorder="1" applyAlignment="1" applyProtection="1">
      <alignment horizontal="center" vertical="center"/>
      <protection hidden="1"/>
    </xf>
    <xf numFmtId="0" fontId="8" fillId="13" borderId="0" xfId="3" applyFont="1" applyFill="1" applyBorder="1" applyProtection="1">
      <protection hidden="1"/>
    </xf>
    <xf numFmtId="0" fontId="0" fillId="10" borderId="0" xfId="0" applyFill="1" applyBorder="1" applyAlignment="1" applyProtection="1">
      <alignment horizontal="center" vertical="center"/>
      <protection locked="0" hidden="1"/>
    </xf>
    <xf numFmtId="9" fontId="0" fillId="10" borderId="0" xfId="1" applyFont="1" applyFill="1" applyBorder="1" applyAlignment="1" applyProtection="1">
      <alignment horizontal="center" vertical="center"/>
      <protection locked="0" hidden="1"/>
    </xf>
    <xf numFmtId="172" fontId="67" fillId="10" borderId="0" xfId="0" applyNumberFormat="1" applyFont="1" applyFill="1" applyBorder="1" applyAlignment="1" applyProtection="1">
      <alignment horizontal="center" vertical="center"/>
      <protection hidden="1"/>
    </xf>
    <xf numFmtId="0" fontId="8" fillId="13" borderId="0" xfId="3" applyFont="1" applyFill="1" applyAlignment="1" applyProtection="1">
      <alignment horizontal="center"/>
      <protection hidden="1"/>
    </xf>
    <xf numFmtId="0" fontId="15" fillId="8" borderId="2" xfId="3" applyFont="1" applyFill="1" applyBorder="1" applyAlignment="1" applyProtection="1">
      <alignment horizontal="center" vertical="center" wrapText="1"/>
      <protection locked="0" hidden="1"/>
    </xf>
    <xf numFmtId="0" fontId="14" fillId="10" borderId="0" xfId="3" applyFont="1" applyFill="1" applyBorder="1" applyAlignment="1" applyProtection="1">
      <alignment horizontal="center" vertical="center" wrapText="1"/>
      <protection locked="0" hidden="1"/>
    </xf>
    <xf numFmtId="0" fontId="8" fillId="8" borderId="0" xfId="3" applyFont="1" applyFill="1" applyBorder="1" applyAlignment="1" applyProtection="1">
      <alignment horizontal="center" vertical="center"/>
      <protection locked="0"/>
    </xf>
    <xf numFmtId="3" fontId="48" fillId="13" borderId="0" xfId="1" applyNumberFormat="1" applyFont="1" applyFill="1" applyBorder="1" applyAlignment="1" applyProtection="1">
      <alignment vertical="center"/>
      <protection hidden="1"/>
    </xf>
    <xf numFmtId="0" fontId="21" fillId="10" borderId="0" xfId="3" quotePrefix="1" applyFont="1" applyFill="1" applyAlignment="1" applyProtection="1">
      <alignment horizontal="left" vertical="center"/>
      <protection hidden="1"/>
    </xf>
    <xf numFmtId="0" fontId="7" fillId="7" borderId="0" xfId="4" applyFont="1" applyFill="1" applyAlignment="1" applyProtection="1">
      <alignment horizontal="center" vertical="center"/>
      <protection locked="0"/>
    </xf>
    <xf numFmtId="0" fontId="81" fillId="7" borderId="0" xfId="0" applyFont="1" applyFill="1" applyAlignment="1" applyProtection="1">
      <alignment horizontal="right"/>
      <protection hidden="1"/>
    </xf>
    <xf numFmtId="0" fontId="8" fillId="10" borderId="0" xfId="3" quotePrefix="1" applyFont="1" applyFill="1" applyAlignment="1">
      <alignment horizontal="left" vertical="center"/>
    </xf>
    <xf numFmtId="0" fontId="82" fillId="9" borderId="0" xfId="4" applyFont="1" applyFill="1" applyAlignment="1" applyProtection="1">
      <alignment horizontal="center"/>
      <protection hidden="1"/>
    </xf>
    <xf numFmtId="0" fontId="83" fillId="7" borderId="0" xfId="3" applyFont="1" applyFill="1"/>
    <xf numFmtId="0" fontId="15" fillId="10" borderId="0" xfId="3" quotePrefix="1" applyFont="1" applyFill="1" applyBorder="1" applyAlignment="1" applyProtection="1">
      <alignment horizontal="left" vertical="center"/>
      <protection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8" fillId="7" borderId="0" xfId="3" quotePrefix="1" applyFont="1" applyFill="1" applyBorder="1" applyAlignment="1">
      <alignment horizontal="left" vertical="center"/>
    </xf>
    <xf numFmtId="0" fontId="56" fillId="7" borderId="0" xfId="3" applyFont="1" applyFill="1" applyAlignment="1" applyProtection="1">
      <alignment horizontal="left" vertical="center" wrapText="1"/>
      <protection hidden="1"/>
    </xf>
    <xf numFmtId="0" fontId="9" fillId="7" borderId="0" xfId="0" applyFont="1" applyFill="1" applyAlignment="1" applyProtection="1">
      <alignment horizontal="left" vertical="center" wrapText="1"/>
      <protection hidden="1"/>
    </xf>
    <xf numFmtId="0" fontId="11" fillId="7" borderId="0" xfId="3" applyFont="1" applyFill="1" applyBorder="1" applyAlignment="1">
      <alignment horizontal="left"/>
    </xf>
    <xf numFmtId="0" fontId="8" fillId="7" borderId="0" xfId="3" applyFont="1" applyFill="1" applyBorder="1" applyAlignment="1">
      <alignment horizontal="left" vertical="center"/>
    </xf>
    <xf numFmtId="0" fontId="11" fillId="7" borderId="0" xfId="3" applyFont="1" applyFill="1" applyBorder="1" applyAlignment="1">
      <alignment horizontal="left" vertical="center"/>
    </xf>
    <xf numFmtId="164" fontId="8" fillId="7" borderId="0" xfId="2" applyNumberFormat="1" applyFont="1" applyFill="1" applyBorder="1" applyAlignment="1">
      <alignment horizontal="center" vertical="center"/>
    </xf>
    <xf numFmtId="0" fontId="8" fillId="7" borderId="0" xfId="3" applyFont="1" applyFill="1" applyBorder="1" applyAlignment="1">
      <alignment horizontal="center" vertical="center"/>
    </xf>
    <xf numFmtId="0" fontId="8" fillId="7" borderId="0" xfId="3" quotePrefix="1" applyFont="1" applyFill="1" applyBorder="1" applyAlignment="1">
      <alignment horizontal="left" wrapText="1"/>
    </xf>
    <xf numFmtId="0" fontId="8" fillId="7" borderId="0" xfId="3" applyFont="1" applyFill="1" applyBorder="1" applyAlignment="1" applyProtection="1">
      <alignment horizontal="center" vertical="center"/>
      <protection hidden="1"/>
    </xf>
    <xf numFmtId="0" fontId="8" fillId="7" borderId="0" xfId="3" quotePrefix="1" applyFont="1" applyFill="1" applyBorder="1" applyAlignment="1" applyProtection="1">
      <alignment horizontal="left" vertical="center" wrapText="1"/>
      <protection hidden="1"/>
    </xf>
    <xf numFmtId="0" fontId="4" fillId="7" borderId="0" xfId="0" applyFont="1" applyFill="1" applyAlignment="1" applyProtection="1">
      <alignment horizontal="left" vertical="center" wrapText="1"/>
      <protection hidden="1"/>
    </xf>
    <xf numFmtId="0" fontId="4" fillId="7" borderId="0" xfId="0" applyFont="1" applyFill="1" applyAlignment="1" applyProtection="1">
      <alignment horizontal="left" vertical="top" wrapText="1"/>
      <protection hidden="1"/>
    </xf>
    <xf numFmtId="0" fontId="38" fillId="7" borderId="0" xfId="0" applyFont="1" applyFill="1" applyAlignment="1" applyProtection="1">
      <alignment horizontal="left" vertical="center" wrapText="1"/>
      <protection hidden="1"/>
    </xf>
    <xf numFmtId="0" fontId="19" fillId="7" borderId="0" xfId="3" applyFont="1" applyFill="1" applyBorder="1" applyAlignment="1">
      <alignment horizontal="left" vertical="center"/>
    </xf>
    <xf numFmtId="164" fontId="19" fillId="7" borderId="0" xfId="2" applyNumberFormat="1" applyFont="1" applyFill="1" applyBorder="1" applyAlignment="1">
      <alignment horizontal="center" vertical="center"/>
    </xf>
    <xf numFmtId="0" fontId="8" fillId="7" borderId="0" xfId="3" applyFont="1" applyFill="1" applyBorder="1" applyAlignment="1">
      <alignment horizontal="left" vertical="center" wrapText="1"/>
    </xf>
    <xf numFmtId="0" fontId="43" fillId="10" borderId="0" xfId="4" applyFont="1" applyFill="1" applyAlignment="1" applyProtection="1">
      <alignment horizontal="left" vertical="top" wrapText="1"/>
      <protection hidden="1"/>
    </xf>
    <xf numFmtId="0" fontId="23" fillId="10" borderId="9" xfId="3" applyFont="1" applyFill="1" applyBorder="1" applyAlignment="1" applyProtection="1">
      <alignment horizontal="left" vertical="center"/>
      <protection hidden="1"/>
    </xf>
    <xf numFmtId="0" fontId="23" fillId="10" borderId="10" xfId="3" applyFont="1" applyFill="1" applyBorder="1" applyAlignment="1" applyProtection="1">
      <alignment horizontal="left" vertical="center"/>
      <protection hidden="1"/>
    </xf>
    <xf numFmtId="1" fontId="78" fillId="10" borderId="0" xfId="1" applyNumberFormat="1" applyFont="1" applyFill="1" applyBorder="1" applyAlignment="1" applyProtection="1">
      <alignment horizontal="center" vertical="center"/>
      <protection locked="0" hidden="1"/>
    </xf>
    <xf numFmtId="0" fontId="51" fillId="10" borderId="0" xfId="3" applyFont="1" applyFill="1" applyAlignment="1" applyProtection="1">
      <alignment horizontal="left" vertical="center" wrapText="1"/>
      <protection hidden="1"/>
    </xf>
    <xf numFmtId="0" fontId="51" fillId="10" borderId="0" xfId="3" applyFont="1" applyFill="1" applyBorder="1" applyAlignment="1" applyProtection="1">
      <alignment horizontal="left" vertical="center" wrapText="1"/>
      <protection hidden="1"/>
    </xf>
    <xf numFmtId="165" fontId="78" fillId="10" borderId="0" xfId="1" applyNumberFormat="1" applyFont="1" applyFill="1" applyBorder="1" applyAlignment="1" applyProtection="1">
      <alignment horizontal="center" vertical="center"/>
      <protection locked="0" hidden="1"/>
    </xf>
    <xf numFmtId="2" fontId="78" fillId="6" borderId="0" xfId="1" applyNumberFormat="1" applyFont="1" applyFill="1" applyBorder="1" applyAlignment="1" applyProtection="1">
      <alignment horizontal="center" vertical="center"/>
      <protection hidden="1"/>
    </xf>
    <xf numFmtId="0" fontId="78" fillId="8" borderId="0" xfId="0" applyFont="1" applyFill="1" applyBorder="1" applyAlignment="1" applyProtection="1">
      <alignment horizontal="center" vertical="center"/>
      <protection locked="0" hidden="1"/>
    </xf>
    <xf numFmtId="0" fontId="78" fillId="10" borderId="0" xfId="3" applyFont="1" applyFill="1" applyBorder="1" applyAlignment="1" applyProtection="1">
      <alignment horizontal="center" vertical="center"/>
      <protection locked="0" hidden="1"/>
    </xf>
    <xf numFmtId="1" fontId="21" fillId="8" borderId="3" xfId="1" applyNumberFormat="1" applyFont="1" applyFill="1" applyBorder="1" applyAlignment="1" applyProtection="1">
      <alignment horizontal="center" vertical="center"/>
      <protection locked="0" hidden="1"/>
    </xf>
    <xf numFmtId="1" fontId="21" fillId="8" borderId="4" xfId="1" applyNumberFormat="1" applyFont="1" applyFill="1" applyBorder="1" applyAlignment="1" applyProtection="1">
      <alignment horizontal="center" vertical="center"/>
      <protection locked="0" hidden="1"/>
    </xf>
    <xf numFmtId="1" fontId="21" fillId="8" borderId="2" xfId="1" applyNumberFormat="1" applyFont="1" applyFill="1" applyBorder="1" applyAlignment="1" applyProtection="1">
      <alignment horizontal="center" vertical="center"/>
      <protection locked="0" hidden="1"/>
    </xf>
    <xf numFmtId="1" fontId="21" fillId="8" borderId="41" xfId="1" applyNumberFormat="1" applyFont="1" applyFill="1" applyBorder="1" applyAlignment="1" applyProtection="1">
      <alignment horizontal="center" vertical="center"/>
      <protection locked="0" hidden="1"/>
    </xf>
    <xf numFmtId="0" fontId="11" fillId="7" borderId="0" xfId="3" applyFont="1" applyFill="1" applyAlignment="1" applyProtection="1">
      <alignment horizontal="left" vertical="center"/>
      <protection hidden="1"/>
    </xf>
    <xf numFmtId="0" fontId="21" fillId="8" borderId="2" xfId="3" applyFont="1" applyFill="1" applyBorder="1" applyAlignment="1" applyProtection="1">
      <alignment horizontal="center" vertical="center"/>
      <protection locked="0" hidden="1"/>
    </xf>
    <xf numFmtId="0" fontId="52" fillId="10" borderId="0" xfId="3" applyFont="1" applyFill="1" applyAlignment="1" applyProtection="1">
      <alignment horizontal="left" vertical="center"/>
      <protection hidden="1"/>
    </xf>
    <xf numFmtId="0" fontId="52" fillId="10" borderId="5" xfId="3" applyFont="1" applyFill="1" applyBorder="1" applyAlignment="1" applyProtection="1">
      <alignment horizontal="left" vertical="center"/>
      <protection hidden="1"/>
    </xf>
    <xf numFmtId="0" fontId="22" fillId="8" borderId="3" xfId="3" applyFont="1" applyFill="1" applyBorder="1" applyAlignment="1" applyProtection="1">
      <alignment horizontal="center" vertical="center"/>
      <protection locked="0" hidden="1"/>
    </xf>
    <xf numFmtId="0" fontId="22" fillId="8" borderId="4" xfId="3" applyFont="1" applyFill="1" applyBorder="1" applyAlignment="1" applyProtection="1">
      <alignment horizontal="center" vertical="center"/>
      <protection locked="0" hidden="1"/>
    </xf>
    <xf numFmtId="3" fontId="21" fillId="8" borderId="7" xfId="2" applyNumberFormat="1" applyFont="1" applyFill="1" applyBorder="1" applyAlignment="1" applyProtection="1">
      <alignment horizontal="center" vertical="center"/>
      <protection locked="0" hidden="1"/>
    </xf>
    <xf numFmtId="3" fontId="21" fillId="8" borderId="8" xfId="2" applyNumberFormat="1" applyFont="1" applyFill="1" applyBorder="1" applyAlignment="1" applyProtection="1">
      <alignment horizontal="center" vertical="center"/>
      <protection locked="0" hidden="1"/>
    </xf>
    <xf numFmtId="0" fontId="52" fillId="10" borderId="0" xfId="3" applyFont="1" applyFill="1" applyAlignment="1" applyProtection="1">
      <alignment horizontal="left" vertical="center" wrapText="1"/>
      <protection hidden="1"/>
    </xf>
    <xf numFmtId="0" fontId="51" fillId="10" borderId="6" xfId="3" applyFont="1" applyFill="1" applyBorder="1" applyAlignment="1" applyProtection="1">
      <alignment horizontal="left" vertical="center" wrapText="1"/>
      <protection hidden="1"/>
    </xf>
    <xf numFmtId="0" fontId="31" fillId="7" borderId="0" xfId="4" applyFont="1" applyFill="1" applyProtection="1">
      <protection hidden="1"/>
    </xf>
    <xf numFmtId="0" fontId="7" fillId="7" borderId="0" xfId="4" applyFont="1" applyFill="1" applyAlignment="1" applyProtection="1">
      <alignment horizontal="center" vertical="center"/>
      <protection hidden="1"/>
    </xf>
    <xf numFmtId="0" fontId="11" fillId="7" borderId="0" xfId="3" applyFont="1" applyFill="1" applyAlignment="1" applyProtection="1">
      <alignment horizontal="left"/>
      <protection hidden="1"/>
    </xf>
    <xf numFmtId="0" fontId="22" fillId="10" borderId="0" xfId="3" quotePrefix="1" applyFont="1" applyFill="1" applyAlignment="1" applyProtection="1">
      <alignment horizontal="left" vertical="center"/>
      <protection hidden="1"/>
    </xf>
    <xf numFmtId="0" fontId="22" fillId="10" borderId="5" xfId="3" quotePrefix="1" applyFont="1" applyFill="1" applyBorder="1" applyAlignment="1" applyProtection="1">
      <alignment horizontal="left" vertical="center"/>
      <protection hidden="1"/>
    </xf>
    <xf numFmtId="0" fontId="21" fillId="10" borderId="12" xfId="1" applyNumberFormat="1" applyFont="1" applyFill="1" applyBorder="1" applyAlignment="1" applyProtection="1">
      <alignment horizontal="center" vertical="center"/>
      <protection hidden="1"/>
    </xf>
    <xf numFmtId="1" fontId="78" fillId="10" borderId="43" xfId="1" applyNumberFormat="1" applyFont="1" applyFill="1" applyBorder="1" applyAlignment="1" applyProtection="1">
      <alignment horizontal="center" vertical="center"/>
      <protection locked="0" hidden="1"/>
    </xf>
    <xf numFmtId="0" fontId="20" fillId="10" borderId="0" xfId="3" applyFont="1" applyFill="1" applyAlignment="1" applyProtection="1">
      <alignment horizontal="left" vertical="center"/>
      <protection hidden="1"/>
    </xf>
    <xf numFmtId="0" fontId="51" fillId="10" borderId="0" xfId="3" applyFont="1" applyFill="1" applyAlignment="1" applyProtection="1">
      <alignment horizontal="left" vertical="center"/>
      <protection hidden="1"/>
    </xf>
    <xf numFmtId="0" fontId="51" fillId="10" borderId="0" xfId="3" applyFont="1" applyFill="1" applyBorder="1" applyAlignment="1" applyProtection="1">
      <alignment horizontal="left" vertical="center"/>
      <protection hidden="1"/>
    </xf>
    <xf numFmtId="0" fontId="78" fillId="10" borderId="0" xfId="0" applyFont="1" applyFill="1" applyBorder="1" applyAlignment="1" applyProtection="1">
      <alignment horizontal="center" vertical="center"/>
      <protection locked="0" hidden="1"/>
    </xf>
    <xf numFmtId="1" fontId="21" fillId="10" borderId="0" xfId="1" applyNumberFormat="1" applyFont="1" applyFill="1" applyBorder="1" applyAlignment="1" applyProtection="1">
      <alignment horizontal="center" vertical="center"/>
      <protection hidden="1"/>
    </xf>
    <xf numFmtId="0" fontId="21" fillId="8" borderId="2" xfId="1" applyNumberFormat="1" applyFont="1" applyFill="1" applyBorder="1" applyAlignment="1" applyProtection="1">
      <alignment horizontal="center" vertical="center"/>
      <protection locked="0" hidden="1"/>
    </xf>
    <xf numFmtId="0" fontId="21" fillId="10" borderId="0" xfId="3" applyFont="1" applyFill="1" applyBorder="1" applyAlignment="1" applyProtection="1">
      <alignment horizontal="center" vertical="center"/>
      <protection hidden="1"/>
    </xf>
    <xf numFmtId="3" fontId="21" fillId="8" borderId="2" xfId="2" applyNumberFormat="1" applyFont="1" applyFill="1" applyBorder="1" applyAlignment="1" applyProtection="1">
      <alignment horizontal="center" vertical="center"/>
      <protection locked="0" hidden="1"/>
    </xf>
    <xf numFmtId="0" fontId="21" fillId="10" borderId="0" xfId="3" quotePrefix="1" applyFont="1" applyFill="1" applyAlignment="1" applyProtection="1">
      <alignment horizontal="left" vertical="center"/>
      <protection hidden="1"/>
    </xf>
    <xf numFmtId="0" fontId="21" fillId="10" borderId="5" xfId="3" quotePrefix="1" applyFont="1" applyFill="1" applyBorder="1" applyAlignment="1" applyProtection="1">
      <alignment horizontal="left" vertical="center"/>
      <protection hidden="1"/>
    </xf>
    <xf numFmtId="0" fontId="8" fillId="10" borderId="0" xfId="3" applyFont="1" applyFill="1" applyAlignment="1" applyProtection="1">
      <alignment horizontal="left" vertical="center"/>
      <protection hidden="1"/>
    </xf>
    <xf numFmtId="0" fontId="11" fillId="7" borderId="0" xfId="3" applyFont="1" applyFill="1" applyAlignment="1" applyProtection="1">
      <alignment horizontal="left" vertical="center" wrapText="1"/>
    </xf>
    <xf numFmtId="0" fontId="9" fillId="7" borderId="0" xfId="0" applyFont="1" applyFill="1" applyAlignment="1" applyProtection="1">
      <alignment horizontal="left" vertical="top" wrapText="1"/>
      <protection hidden="1"/>
    </xf>
    <xf numFmtId="0" fontId="15" fillId="10" borderId="0" xfId="3" quotePrefix="1" applyFont="1" applyFill="1" applyBorder="1" applyAlignment="1" applyProtection="1">
      <alignment horizontal="left" vertical="center"/>
      <protection hidden="1"/>
    </xf>
    <xf numFmtId="0" fontId="8" fillId="10" borderId="5" xfId="3" applyFont="1" applyFill="1" applyBorder="1" applyAlignment="1" applyProtection="1">
      <alignment horizontal="left" vertical="center"/>
      <protection hidden="1"/>
    </xf>
    <xf numFmtId="0" fontId="8" fillId="10" borderId="0" xfId="3" applyFont="1" applyFill="1" applyAlignment="1" applyProtection="1">
      <alignment horizontal="left"/>
      <protection hidden="1"/>
    </xf>
    <xf numFmtId="0" fontId="8" fillId="10" borderId="0" xfId="3" applyFont="1" applyFill="1" applyAlignment="1" applyProtection="1">
      <alignment horizontal="center" vertical="center" wrapText="1"/>
      <protection hidden="1"/>
    </xf>
    <xf numFmtId="0" fontId="8" fillId="10" borderId="17" xfId="3" applyFont="1" applyFill="1" applyBorder="1" applyAlignment="1" applyProtection="1">
      <alignment horizontal="center" vertical="center" wrapText="1"/>
      <protection hidden="1"/>
    </xf>
    <xf numFmtId="0" fontId="8" fillId="8" borderId="3" xfId="3" applyFont="1" applyFill="1" applyBorder="1" applyAlignment="1" applyProtection="1">
      <alignment horizontal="center" vertical="center"/>
      <protection hidden="1"/>
    </xf>
    <xf numFmtId="0" fontId="8" fillId="8" borderId="4" xfId="3" applyFont="1" applyFill="1" applyBorder="1" applyAlignment="1" applyProtection="1">
      <alignment horizontal="center" vertical="center"/>
      <protection hidden="1"/>
    </xf>
    <xf numFmtId="0" fontId="8" fillId="13" borderId="3" xfId="3" applyFont="1" applyFill="1" applyBorder="1" applyAlignment="1" applyProtection="1">
      <alignment horizontal="center" vertical="center"/>
      <protection hidden="1"/>
    </xf>
    <xf numFmtId="0" fontId="8" fillId="13" borderId="4" xfId="3" applyFont="1" applyFill="1" applyBorder="1" applyAlignment="1" applyProtection="1">
      <alignment horizontal="center" vertical="center"/>
      <protection hidden="1"/>
    </xf>
    <xf numFmtId="164" fontId="8" fillId="10" borderId="0" xfId="2" applyNumberFormat="1" applyFont="1" applyFill="1" applyBorder="1" applyAlignment="1" applyProtection="1">
      <alignment horizontal="center" vertical="center"/>
    </xf>
    <xf numFmtId="0" fontId="8" fillId="13" borderId="2" xfId="3" applyFont="1" applyFill="1" applyBorder="1" applyAlignment="1" applyProtection="1">
      <alignment horizontal="center" vertical="center"/>
      <protection hidden="1"/>
    </xf>
    <xf numFmtId="0" fontId="8" fillId="10" borderId="0" xfId="3" applyFont="1" applyFill="1" applyBorder="1" applyAlignment="1" applyProtection="1">
      <alignment horizontal="center" vertical="center"/>
    </xf>
    <xf numFmtId="0" fontId="15" fillId="10" borderId="0" xfId="3" applyFont="1" applyFill="1" applyAlignment="1" applyProtection="1">
      <alignment horizontal="left" vertical="center" wrapText="1"/>
    </xf>
    <xf numFmtId="0" fontId="15" fillId="10" borderId="0" xfId="3" applyFont="1" applyFill="1" applyAlignment="1" applyProtection="1">
      <alignment horizontal="center" vertical="center" wrapText="1"/>
    </xf>
    <xf numFmtId="0" fontId="15" fillId="10" borderId="17" xfId="3" applyFont="1" applyFill="1" applyBorder="1" applyAlignment="1" applyProtection="1">
      <alignment horizontal="center" vertical="center" wrapText="1"/>
    </xf>
    <xf numFmtId="0" fontId="0" fillId="8" borderId="2" xfId="0" applyFill="1" applyBorder="1" applyAlignment="1" applyProtection="1">
      <alignment horizontal="center" vertical="center"/>
      <protection locked="0"/>
    </xf>
    <xf numFmtId="0" fontId="0" fillId="8" borderId="2" xfId="1" applyNumberFormat="1" applyFont="1" applyFill="1" applyBorder="1" applyAlignment="1" applyProtection="1">
      <alignment horizontal="center" vertical="center"/>
      <protection locked="0"/>
    </xf>
    <xf numFmtId="0" fontId="0" fillId="8" borderId="3" xfId="1" applyNumberFormat="1" applyFont="1" applyFill="1" applyBorder="1" applyAlignment="1" applyProtection="1">
      <alignment horizontal="center" vertical="center"/>
      <protection locked="0"/>
    </xf>
    <xf numFmtId="9" fontId="66" fillId="10" borderId="0" xfId="1" applyNumberFormat="1" applyFont="1" applyFill="1" applyBorder="1" applyAlignment="1" applyProtection="1">
      <alignment horizontal="center" vertical="center"/>
    </xf>
    <xf numFmtId="0" fontId="15" fillId="10" borderId="5" xfId="3" applyFont="1" applyFill="1" applyBorder="1" applyAlignment="1" applyProtection="1">
      <alignment horizontal="left" vertical="center" wrapText="1"/>
    </xf>
    <xf numFmtId="0" fontId="15" fillId="10" borderId="0" xfId="3" applyFont="1" applyFill="1" applyAlignment="1" applyProtection="1">
      <alignment horizontal="left" vertical="center"/>
    </xf>
    <xf numFmtId="0" fontId="15" fillId="10" borderId="0" xfId="3" applyFont="1" applyFill="1" applyBorder="1" applyAlignment="1" applyProtection="1">
      <alignment horizontal="left" vertical="center"/>
    </xf>
    <xf numFmtId="0" fontId="15" fillId="10" borderId="0" xfId="3" applyFont="1" applyFill="1" applyBorder="1" applyAlignment="1" applyProtection="1">
      <alignment horizontal="center" vertical="center" wrapText="1"/>
    </xf>
    <xf numFmtId="9" fontId="66" fillId="13" borderId="3" xfId="3" applyNumberFormat="1" applyFont="1" applyFill="1" applyBorder="1" applyAlignment="1" applyProtection="1">
      <alignment horizontal="center" vertical="center"/>
    </xf>
    <xf numFmtId="9" fontId="66" fillId="13" borderId="30" xfId="3" applyNumberFormat="1" applyFont="1" applyFill="1" applyBorder="1" applyAlignment="1" applyProtection="1">
      <alignment horizontal="center" vertical="center"/>
    </xf>
    <xf numFmtId="9" fontId="66" fillId="13" borderId="4" xfId="3" applyNumberFormat="1" applyFont="1" applyFill="1" applyBorder="1" applyAlignment="1" applyProtection="1">
      <alignment horizontal="center" vertical="center"/>
    </xf>
    <xf numFmtId="0" fontId="11" fillId="7" borderId="0" xfId="3" applyFont="1" applyFill="1" applyAlignment="1" applyProtection="1">
      <alignment horizontal="left" vertical="center" wrapText="1"/>
      <protection hidden="1"/>
    </xf>
    <xf numFmtId="0" fontId="19" fillId="10" borderId="10" xfId="3" applyFont="1" applyFill="1" applyBorder="1" applyAlignment="1" applyProtection="1">
      <alignment horizontal="left" vertical="center"/>
      <protection hidden="1"/>
    </xf>
    <xf numFmtId="0" fontId="19" fillId="10" borderId="11" xfId="3" applyFont="1" applyFill="1" applyBorder="1" applyAlignment="1" applyProtection="1">
      <alignment horizontal="left" vertical="center"/>
      <protection hidden="1"/>
    </xf>
    <xf numFmtId="0" fontId="8" fillId="8" borderId="0" xfId="3" applyFont="1" applyFill="1" applyBorder="1" applyAlignment="1" applyProtection="1">
      <alignment horizontal="center" vertical="center"/>
      <protection locked="0"/>
    </xf>
    <xf numFmtId="0" fontId="8" fillId="13" borderId="0" xfId="3" applyFont="1" applyFill="1" applyBorder="1" applyAlignment="1" applyProtection="1">
      <alignment horizontal="center" vertical="center"/>
      <protection hidden="1"/>
    </xf>
    <xf numFmtId="0" fontId="15" fillId="10" borderId="0" xfId="3" applyFont="1" applyFill="1" applyAlignment="1" applyProtection="1">
      <alignment horizontal="center" vertical="center"/>
      <protection hidden="1"/>
    </xf>
    <xf numFmtId="0" fontId="15" fillId="10" borderId="0" xfId="3" applyFont="1" applyFill="1" applyAlignment="1" applyProtection="1">
      <alignment horizontal="left" vertical="center" wrapText="1"/>
      <protection hidden="1"/>
    </xf>
    <xf numFmtId="0" fontId="8" fillId="10" borderId="0" xfId="3" applyFont="1" applyFill="1" applyBorder="1" applyAlignment="1" applyProtection="1">
      <alignment horizontal="center" vertical="center" wrapText="1"/>
      <protection hidden="1"/>
    </xf>
    <xf numFmtId="0" fontId="79" fillId="10" borderId="0" xfId="0" applyFont="1" applyFill="1" applyBorder="1" applyAlignment="1" applyProtection="1">
      <alignment horizontal="center" vertical="center"/>
      <protection locked="0"/>
    </xf>
    <xf numFmtId="9" fontId="79" fillId="10" borderId="0" xfId="1" applyFont="1" applyFill="1" applyBorder="1" applyAlignment="1" applyProtection="1">
      <alignment horizontal="center" vertical="center"/>
      <protection locked="0"/>
    </xf>
    <xf numFmtId="10" fontId="66" fillId="10" borderId="0" xfId="1" applyNumberFormat="1" applyFont="1" applyFill="1" applyBorder="1" applyAlignment="1" applyProtection="1">
      <alignment horizontal="center" vertical="center"/>
      <protection hidden="1"/>
    </xf>
    <xf numFmtId="9" fontId="66" fillId="13" borderId="3" xfId="3" applyNumberFormat="1" applyFont="1" applyFill="1" applyBorder="1" applyAlignment="1" applyProtection="1">
      <alignment horizontal="center" vertical="center"/>
      <protection hidden="1"/>
    </xf>
    <xf numFmtId="9" fontId="66" fillId="13" borderId="30" xfId="3" applyNumberFormat="1" applyFont="1" applyFill="1" applyBorder="1" applyAlignment="1" applyProtection="1">
      <alignment horizontal="center" vertical="center"/>
      <protection hidden="1"/>
    </xf>
    <xf numFmtId="9" fontId="66" fillId="13" borderId="4" xfId="3" applyNumberFormat="1" applyFont="1" applyFill="1" applyBorder="1" applyAlignment="1" applyProtection="1">
      <alignment horizontal="center" vertical="center"/>
      <protection hidden="1"/>
    </xf>
    <xf numFmtId="0" fontId="15" fillId="10" borderId="17" xfId="3" applyFont="1" applyFill="1" applyBorder="1" applyAlignment="1" applyProtection="1">
      <alignment horizontal="center" vertical="center" wrapText="1"/>
      <protection hidden="1"/>
    </xf>
    <xf numFmtId="0" fontId="0" fillId="8" borderId="3" xfId="0" applyFill="1" applyBorder="1" applyAlignment="1" applyProtection="1">
      <alignment horizontal="center" vertical="center"/>
      <protection locked="0"/>
    </xf>
    <xf numFmtId="0" fontId="0" fillId="8" borderId="4" xfId="0" applyFill="1" applyBorder="1" applyAlignment="1" applyProtection="1">
      <alignment horizontal="center" vertical="center"/>
      <protection locked="0"/>
    </xf>
    <xf numFmtId="0" fontId="0" fillId="8" borderId="30" xfId="0" applyFill="1" applyBorder="1" applyAlignment="1" applyProtection="1">
      <alignment horizontal="center" vertical="center"/>
      <protection locked="0"/>
    </xf>
    <xf numFmtId="0" fontId="15" fillId="10" borderId="5" xfId="3" applyFont="1" applyFill="1" applyBorder="1" applyAlignment="1" applyProtection="1">
      <alignment horizontal="left" vertical="center" wrapText="1"/>
      <protection hidden="1"/>
    </xf>
    <xf numFmtId="0" fontId="15" fillId="10" borderId="0" xfId="3" applyFont="1" applyFill="1" applyAlignment="1" applyProtection="1">
      <alignment horizontal="left" vertical="center"/>
      <protection hidden="1"/>
    </xf>
    <xf numFmtId="0" fontId="15" fillId="10" borderId="0" xfId="3" applyFont="1" applyFill="1" applyBorder="1" applyAlignment="1" applyProtection="1">
      <alignment horizontal="left" vertical="center"/>
      <protection hidden="1"/>
    </xf>
    <xf numFmtId="0" fontId="15" fillId="10" borderId="0" xfId="3" applyFont="1" applyFill="1" applyBorder="1" applyAlignment="1" applyProtection="1">
      <alignment horizontal="center" vertical="center" wrapText="1"/>
      <protection hidden="1"/>
    </xf>
    <xf numFmtId="1" fontId="21" fillId="6" borderId="2" xfId="1" applyNumberFormat="1" applyFont="1" applyFill="1" applyBorder="1" applyAlignment="1" applyProtection="1">
      <alignment horizontal="center" vertical="center"/>
      <protection hidden="1"/>
    </xf>
    <xf numFmtId="0" fontId="21" fillId="10" borderId="30" xfId="1" applyNumberFormat="1" applyFont="1" applyFill="1" applyBorder="1" applyAlignment="1" applyProtection="1">
      <alignment horizontal="center" vertical="center"/>
      <protection hidden="1"/>
    </xf>
    <xf numFmtId="0" fontId="0" fillId="16" borderId="0" xfId="0" applyFill="1" applyAlignment="1" applyProtection="1">
      <alignment horizontal="center"/>
    </xf>
    <xf numFmtId="0" fontId="8" fillId="16" borderId="0" xfId="3" applyFont="1" applyFill="1" applyBorder="1" applyAlignment="1">
      <alignment horizontal="center" vertical="center"/>
    </xf>
    <xf numFmtId="0" fontId="21" fillId="7" borderId="0" xfId="3" applyFont="1" applyFill="1" applyBorder="1" applyAlignment="1" applyProtection="1">
      <alignment horizontal="center" vertical="center"/>
      <protection locked="0"/>
    </xf>
    <xf numFmtId="10" fontId="0" fillId="16" borderId="0" xfId="0" applyNumberFormat="1" applyFill="1" applyAlignment="1" applyProtection="1">
      <alignment horizontal="center" vertical="center"/>
    </xf>
    <xf numFmtId="0" fontId="0" fillId="16" borderId="0" xfId="0" applyFill="1" applyAlignment="1" applyProtection="1">
      <alignment horizontal="center" vertical="center"/>
    </xf>
    <xf numFmtId="174" fontId="0" fillId="7" borderId="0" xfId="0" applyNumberFormat="1" applyFill="1" applyBorder="1" applyAlignment="1" applyProtection="1">
      <alignment horizontal="center" vertical="center"/>
      <protection hidden="1"/>
    </xf>
    <xf numFmtId="174" fontId="0" fillId="10" borderId="0" xfId="0" applyNumberFormat="1" applyFill="1" applyBorder="1" applyAlignment="1" applyProtection="1">
      <alignment horizontal="center" vertical="center"/>
      <protection hidden="1"/>
    </xf>
    <xf numFmtId="0" fontId="22" fillId="10" borderId="0" xfId="3" applyFont="1"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0" fillId="10" borderId="0" xfId="0" applyFill="1" applyBorder="1" applyAlignment="1" applyProtection="1">
      <alignment horizontal="center" vertical="center"/>
      <protection locked="0"/>
    </xf>
    <xf numFmtId="0" fontId="8" fillId="10" borderId="0" xfId="3" applyFont="1" applyFill="1" applyBorder="1" applyAlignment="1" applyProtection="1">
      <alignment horizontal="center" vertical="center"/>
      <protection locked="0"/>
    </xf>
    <xf numFmtId="0" fontId="59" fillId="7" borderId="0" xfId="3" applyFont="1" applyFill="1" applyBorder="1" applyAlignment="1">
      <alignment horizontal="center" vertical="center"/>
    </xf>
    <xf numFmtId="0" fontId="34" fillId="10" borderId="0" xfId="3" applyFont="1" applyFill="1" applyBorder="1" applyAlignment="1" applyProtection="1">
      <alignment horizontal="center"/>
      <protection hidden="1"/>
    </xf>
    <xf numFmtId="0" fontId="34" fillId="10" borderId="0" xfId="0" applyFont="1" applyFill="1" applyBorder="1" applyAlignment="1" applyProtection="1">
      <alignment horizontal="center"/>
      <protection hidden="1"/>
    </xf>
    <xf numFmtId="0" fontId="22" fillId="7" borderId="0" xfId="3" applyFont="1" applyFill="1" applyBorder="1" applyAlignment="1" applyProtection="1">
      <alignment horizontal="center" vertical="center"/>
      <protection locked="0"/>
    </xf>
    <xf numFmtId="0" fontId="7" fillId="7" borderId="0" xfId="4" applyFont="1" applyFill="1" applyAlignment="1" applyProtection="1">
      <alignment horizontal="center" vertical="center"/>
      <protection locked="0"/>
    </xf>
    <xf numFmtId="0" fontId="8" fillId="10" borderId="0" xfId="3" quotePrefix="1" applyFont="1" applyFill="1" applyAlignment="1">
      <alignment horizontal="left" vertical="center"/>
    </xf>
    <xf numFmtId="0" fontId="8" fillId="10" borderId="5" xfId="3" quotePrefix="1" applyFont="1" applyFill="1" applyBorder="1" applyAlignment="1">
      <alignment horizontal="left" vertical="center"/>
    </xf>
    <xf numFmtId="0" fontId="11" fillId="7" borderId="0" xfId="3" applyFont="1" applyFill="1" applyBorder="1" applyAlignment="1">
      <alignment horizontal="center" vertical="center"/>
    </xf>
    <xf numFmtId="0" fontId="61" fillId="10" borderId="0" xfId="3" applyFont="1" applyFill="1" applyBorder="1" applyAlignment="1">
      <alignment horizontal="center" vertical="center"/>
    </xf>
    <xf numFmtId="0" fontId="22" fillId="8" borderId="2" xfId="3" applyFont="1" applyFill="1" applyBorder="1" applyAlignment="1" applyProtection="1">
      <alignment horizontal="center" vertical="center"/>
      <protection locked="0"/>
    </xf>
    <xf numFmtId="0" fontId="23" fillId="10" borderId="0" xfId="3" applyFont="1" applyFill="1" applyBorder="1" applyAlignment="1">
      <alignment horizontal="left" vertical="center" wrapText="1"/>
    </xf>
    <xf numFmtId="0" fontId="70" fillId="0" borderId="0" xfId="0" applyFont="1" applyAlignment="1">
      <alignment horizontal="center"/>
    </xf>
    <xf numFmtId="0" fontId="68" fillId="0" borderId="0" xfId="0" applyFont="1" applyAlignment="1">
      <alignment horizontal="center"/>
    </xf>
    <xf numFmtId="0" fontId="0" fillId="0" borderId="27" xfId="0" applyBorder="1" applyAlignment="1">
      <alignment horizontal="center"/>
    </xf>
    <xf numFmtId="0" fontId="0" fillId="0" borderId="20"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43" fontId="24" fillId="0" borderId="13" xfId="2" applyFont="1" applyBorder="1" applyAlignment="1" applyProtection="1">
      <alignment horizontal="center" vertical="center"/>
      <protection hidden="1"/>
    </xf>
    <xf numFmtId="43" fontId="24" fillId="0" borderId="12" xfId="2" applyFont="1" applyBorder="1" applyAlignment="1" applyProtection="1">
      <alignment horizontal="center" vertical="center"/>
      <protection hidden="1"/>
    </xf>
    <xf numFmtId="43" fontId="19" fillId="0" borderId="13" xfId="2" applyFont="1" applyBorder="1" applyAlignment="1">
      <alignment horizontal="center"/>
    </xf>
    <xf numFmtId="43" fontId="19" fillId="0" borderId="12" xfId="2" applyFont="1" applyBorder="1" applyAlignment="1">
      <alignment horizontal="center"/>
    </xf>
    <xf numFmtId="43" fontId="19" fillId="0" borderId="14" xfId="2" applyFont="1" applyBorder="1" applyAlignment="1">
      <alignment horizontal="center"/>
    </xf>
    <xf numFmtId="43" fontId="2" fillId="0" borderId="0" xfId="2" applyFont="1" applyAlignment="1" applyProtection="1">
      <alignment horizontal="center" vertical="center"/>
      <protection hidden="1"/>
    </xf>
    <xf numFmtId="0" fontId="34" fillId="0" borderId="0" xfId="0" applyFont="1" applyAlignment="1">
      <alignment horizontal="center"/>
    </xf>
    <xf numFmtId="43" fontId="19" fillId="0" borderId="46" xfId="2" applyFont="1" applyBorder="1" applyAlignment="1">
      <alignment horizontal="center"/>
    </xf>
  </cellXfs>
  <cellStyles count="5">
    <cellStyle name="Komma" xfId="2" builtinId="3"/>
    <cellStyle name="Link" xfId="4" builtinId="8"/>
    <cellStyle name="Normal" xfId="0" builtinId="0"/>
    <cellStyle name="Normal 2" xfId="3"/>
    <cellStyle name="Procent" xfId="1" builtinId="5"/>
  </cellStyles>
  <dxfs count="171">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border>
    </dxf>
    <dxf>
      <font>
        <color theme="1"/>
      </font>
      <fill>
        <patternFill>
          <bgColor rgb="FFFFFF00"/>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b/>
        <i val="0"/>
      </font>
      <fill>
        <patternFill>
          <bgColor theme="9" tint="0.59996337778862885"/>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dxf>
    <dxf>
      <font>
        <color theme="9" tint="0.59996337778862885"/>
      </font>
      <fill>
        <patternFill>
          <bgColor theme="9" tint="0.59996337778862885"/>
        </patternFill>
      </fill>
      <border>
        <left style="thin">
          <color auto="1"/>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style="thin">
          <color auto="1"/>
        </right>
        <top style="thin">
          <color auto="1"/>
        </top>
        <bottom style="thin">
          <color auto="1"/>
        </bottom>
        <vertical/>
        <horizontal/>
      </border>
    </dxf>
    <dxf>
      <fill>
        <patternFill>
          <bgColor theme="9" tint="0.59996337778862885"/>
        </patternFill>
      </fill>
      <border>
        <left style="thin">
          <color auto="1"/>
        </left>
        <right/>
        <top/>
        <bottom/>
        <vertical/>
        <horizontal/>
      </border>
    </dxf>
    <dxf>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1"/>
      </font>
      <fill>
        <patternFill>
          <bgColor rgb="FFFFFF00"/>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0" tint="-0.14996795556505021"/>
        </patternFill>
      </fill>
      <border>
        <left style="thin">
          <color auto="1"/>
        </left>
        <right style="thin">
          <color auto="1"/>
        </right>
        <top style="thin">
          <color auto="1"/>
        </top>
        <bottom style="thin">
          <color auto="1"/>
        </bottom>
      </border>
    </dxf>
    <dxf>
      <font>
        <b/>
        <i val="0"/>
      </font>
      <fill>
        <patternFill>
          <bgColor theme="9" tint="0.59996337778862885"/>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style="thin">
          <color auto="1"/>
        </right>
        <top style="thin">
          <color auto="1"/>
        </top>
        <bottom style="thin">
          <color auto="1"/>
        </bottom>
        <vertical/>
        <horizontal/>
      </border>
    </dxf>
    <dxf>
      <fill>
        <patternFill>
          <bgColor theme="9" tint="0.59996337778862885"/>
        </patternFill>
      </fill>
      <border>
        <left style="thin">
          <color auto="1"/>
        </left>
        <right/>
        <top/>
        <bottom/>
        <vertical/>
        <horizontal/>
      </border>
    </dxf>
    <dxf>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b/>
        <i val="0"/>
      </font>
      <fill>
        <patternFill>
          <bgColor theme="9" tint="0.59996337778862885"/>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dxf>
    <dxf>
      <font>
        <color theme="9" tint="0.59996337778862885"/>
      </font>
      <fill>
        <patternFill>
          <bgColor theme="9" tint="0.59996337778862885"/>
        </patternFill>
      </fill>
      <border>
        <left style="thin">
          <color auto="1"/>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style="thin">
          <color auto="1"/>
        </right>
        <top style="thin">
          <color auto="1"/>
        </top>
        <bottom style="thin">
          <color auto="1"/>
        </bottom>
        <vertical/>
        <horizontal/>
      </border>
    </dxf>
    <dxf>
      <fill>
        <patternFill>
          <bgColor theme="9" tint="0.59996337778862885"/>
        </patternFill>
      </fill>
      <border>
        <left style="thin">
          <color auto="1"/>
        </left>
        <right/>
        <top/>
        <bottom/>
        <vertical/>
        <horizontal/>
      </border>
    </dxf>
    <dxf>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b val="0"/>
        <i val="0"/>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1"/>
      </font>
      <fill>
        <patternFill>
          <bgColor theme="0" tint="-0.14996795556505021"/>
        </patternFill>
      </fill>
      <border>
        <left style="thin">
          <color auto="1"/>
        </left>
        <right style="thin">
          <color auto="1"/>
        </right>
        <top style="thin">
          <color auto="1"/>
        </top>
        <bottom style="thin">
          <color auto="1"/>
        </bottom>
        <vertical/>
        <horizontal/>
      </border>
    </dxf>
    <dxf>
      <font>
        <color theme="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b/>
        <i val="0"/>
        <color theme="1"/>
      </font>
      <fill>
        <patternFill>
          <bgColor theme="0" tint="-0.14996795556505021"/>
        </patternFill>
      </fill>
      <border>
        <left style="thin">
          <color auto="1"/>
        </left>
        <right style="thin">
          <color auto="1"/>
        </right>
        <top style="thin">
          <color auto="1"/>
        </top>
        <bottom style="thin">
          <color auto="1"/>
        </bottom>
        <vertical/>
        <horizontal/>
      </border>
    </dxf>
    <dxf>
      <font>
        <b/>
        <i val="0"/>
        <color theme="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right/>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1"/>
      </font>
      <fill>
        <patternFill>
          <bgColor rgb="FFFFFF00"/>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ont>
        <color theme="1"/>
      </font>
      <fill>
        <patternFill>
          <bgColor rgb="FFFFFF00"/>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1"/>
      </font>
      <fill>
        <patternFill>
          <bgColor rgb="FFFFFF00"/>
        </patternFill>
      </fill>
      <border>
        <left style="thin">
          <color auto="1"/>
        </left>
        <right style="thin">
          <color auto="1"/>
        </right>
        <top style="thin">
          <color auto="1"/>
        </top>
        <bottom style="thin">
          <color auto="1"/>
        </bottom>
      </border>
    </dxf>
    <dxf>
      <font>
        <color theme="1"/>
      </font>
      <fill>
        <patternFill>
          <bgColor theme="2"/>
        </patternFill>
      </fill>
      <border>
        <left style="thin">
          <color auto="1"/>
        </left>
        <right style="thin">
          <color auto="1"/>
        </right>
        <top style="thin">
          <color auto="1"/>
        </top>
        <bottom style="thin">
          <color auto="1"/>
        </bottom>
      </border>
    </dxf>
    <dxf>
      <font>
        <color theme="1"/>
      </font>
      <fill>
        <patternFill>
          <bgColor rgb="FFFFFF00"/>
        </patternFill>
      </fill>
      <border>
        <left style="thin">
          <color auto="1"/>
        </left>
        <right style="thin">
          <color auto="1"/>
        </right>
        <top style="thin">
          <color auto="1"/>
        </top>
        <bottom style="thin">
          <color auto="1"/>
        </bottom>
        <vertical/>
        <horizontal/>
      </border>
    </dxf>
    <dxf>
      <font>
        <color auto="1"/>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ont>
        <color auto="1"/>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rgb="FFFFFF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theme="9" tint="0.59996337778862885"/>
        </patternFill>
      </fill>
    </dxf>
    <dxf>
      <fill>
        <patternFill>
          <bgColor rgb="FFFFFF00"/>
        </patternFill>
      </fill>
      <border>
        <left style="thin">
          <color auto="1"/>
        </left>
        <right style="thin">
          <color auto="1"/>
        </right>
        <top style="thin">
          <color auto="1"/>
        </top>
        <bottom style="thin">
          <color auto="1"/>
        </bottom>
        <vertical/>
        <horizontal/>
      </border>
    </dxf>
    <dxf>
      <fill>
        <patternFill>
          <bgColor theme="9" tint="0.59996337778862885"/>
        </patternFill>
      </fill>
    </dxf>
    <dxf>
      <fill>
        <patternFill>
          <bgColor theme="9" tint="0.59996337778862885"/>
        </patternFill>
      </fill>
    </dxf>
    <dxf>
      <fill>
        <patternFill>
          <bgColor rgb="FFFFFF00"/>
        </patternFill>
      </fill>
    </dxf>
    <dxf>
      <font>
        <color theme="1"/>
      </font>
      <fill>
        <patternFill>
          <bgColor rgb="FFFFFF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1'!$AB$4:$AB$6</c:f>
              <c:numCache>
                <c:formatCode>_(* #,##0.00_);_(* \(#,##0.00\);_(* "-"??_);_(@_)</c:formatCode>
                <c:ptCount val="3"/>
                <c:pt idx="0">
                  <c:v>1000</c:v>
                </c:pt>
                <c:pt idx="1">
                  <c:v>100</c:v>
                </c:pt>
                <c:pt idx="2">
                  <c:v>10</c:v>
                </c:pt>
              </c:numCache>
            </c:numRef>
          </c:xVal>
          <c:yVal>
            <c:numRef>
              <c:f>'Forbrugsberegner 1'!$AC$4:$AC$6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04F0-4F61-B08A-C6B7BE81B7D9}"/>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2'!$N$4:$N$8</c:f>
              <c:strCache>
                <c:ptCount val="5"/>
                <c:pt idx="0">
                  <c:v>Træpiller</c:v>
                </c:pt>
                <c:pt idx="1">
                  <c:v>Brænde</c:v>
                </c:pt>
                <c:pt idx="2">
                  <c:v>Flis</c:v>
                </c:pt>
                <c:pt idx="3">
                  <c:v>Halm</c:v>
                </c:pt>
                <c:pt idx="4">
                  <c:v>Olie</c:v>
                </c:pt>
              </c:strCache>
            </c:strRef>
          </c:cat>
          <c:val>
            <c:numRef>
              <c:f>'Forbrugsberegner 2'!$O$4:$O$8</c:f>
              <c:numCache>
                <c:formatCode>_(* #,##0.00_);_(* \(#,##0.00\);_(* "-"??_);_(@_)</c:formatCode>
                <c:ptCount val="5"/>
                <c:pt idx="0">
                  <c:v>0.51843511609559978</c:v>
                </c:pt>
                <c:pt idx="1">
                  <c:v>0.47517343190976091</c:v>
                </c:pt>
                <c:pt idx="2">
                  <c:v>0.46308576874692875</c:v>
                </c:pt>
                <c:pt idx="3">
                  <c:v>0.3634870740495868</c:v>
                </c:pt>
                <c:pt idx="4">
                  <c:v>0.49803511609559975</c:v>
                </c:pt>
              </c:numCache>
            </c:numRef>
          </c:val>
          <c:smooth val="0"/>
          <c:extLst>
            <c:ext xmlns:c16="http://schemas.microsoft.com/office/drawing/2014/chart" uri="{C3380CC4-5D6E-409C-BE32-E72D297353CC}">
              <c16:uniqueId val="{00000000-E1CB-449E-9791-A1A5CA9F3010}"/>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2'!$H$12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2'!$G$13:$G$15</c:f>
              <c:numCache>
                <c:formatCode>_(* #,##0.00_);_(* \(#,##0.00\);_(* "-"??_);_(@_)</c:formatCode>
                <c:ptCount val="3"/>
                <c:pt idx="0">
                  <c:v>1</c:v>
                </c:pt>
                <c:pt idx="1">
                  <c:v>10</c:v>
                </c:pt>
                <c:pt idx="2">
                  <c:v>30</c:v>
                </c:pt>
              </c:numCache>
            </c:numRef>
          </c:xVal>
          <c:yVal>
            <c:numRef>
              <c:f>'Forbrugsberegner 2'!$H$13:$H$15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420C-45E8-9131-0F87A91748F9}"/>
            </c:ext>
          </c:extLst>
        </c:ser>
        <c:ser>
          <c:idx val="1"/>
          <c:order val="1"/>
          <c:tx>
            <c:strRef>
              <c:f>'Forbrugsberegner 2'!$I$12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2'!$G$13:$G$15</c:f>
              <c:numCache>
                <c:formatCode>_(* #,##0.00_);_(* \(#,##0.00\);_(* "-"??_);_(@_)</c:formatCode>
                <c:ptCount val="3"/>
                <c:pt idx="0">
                  <c:v>1</c:v>
                </c:pt>
                <c:pt idx="1">
                  <c:v>10</c:v>
                </c:pt>
                <c:pt idx="2">
                  <c:v>30</c:v>
                </c:pt>
              </c:numCache>
            </c:numRef>
          </c:xVal>
          <c:yVal>
            <c:numRef>
              <c:f>'Forbrugsberegner 2'!$I$13:$I$15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420C-45E8-9131-0F87A91748F9}"/>
            </c:ext>
          </c:extLst>
        </c:ser>
        <c:ser>
          <c:idx val="2"/>
          <c:order val="2"/>
          <c:tx>
            <c:strRef>
              <c:f>'Forbrugsberegner 2'!$J$12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2'!$G$13:$G$15</c:f>
              <c:numCache>
                <c:formatCode>_(* #,##0.00_);_(* \(#,##0.00\);_(* "-"??_);_(@_)</c:formatCode>
                <c:ptCount val="3"/>
                <c:pt idx="0">
                  <c:v>1</c:v>
                </c:pt>
                <c:pt idx="1">
                  <c:v>10</c:v>
                </c:pt>
                <c:pt idx="2">
                  <c:v>30</c:v>
                </c:pt>
              </c:numCache>
            </c:numRef>
          </c:xVal>
          <c:yVal>
            <c:numRef>
              <c:f>'Forbrugsberegner 2'!$J$13:$J$15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420C-45E8-9131-0F87A91748F9}"/>
            </c:ext>
          </c:extLst>
        </c:ser>
        <c:ser>
          <c:idx val="3"/>
          <c:order val="3"/>
          <c:tx>
            <c:strRef>
              <c:f>'Forbrugsberegner 2'!$K$12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2'!$G$13:$G$15</c:f>
              <c:numCache>
                <c:formatCode>_(* #,##0.00_);_(* \(#,##0.00\);_(* "-"??_);_(@_)</c:formatCode>
                <c:ptCount val="3"/>
                <c:pt idx="0">
                  <c:v>1</c:v>
                </c:pt>
                <c:pt idx="1">
                  <c:v>10</c:v>
                </c:pt>
                <c:pt idx="2">
                  <c:v>30</c:v>
                </c:pt>
              </c:numCache>
            </c:numRef>
          </c:xVal>
          <c:yVal>
            <c:numRef>
              <c:f>'Forbrugsberegner 2'!$K$13:$K$15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420C-45E8-9131-0F87A91748F9}"/>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2'!$D$5</c:f>
              <c:numCache>
                <c:formatCode>_(* #,##0.00_);_(* \(#,##0.00\);_(* "-"??_);_(@_)</c:formatCode>
                <c:ptCount val="1"/>
                <c:pt idx="0">
                  <c:v>2023</c:v>
                </c:pt>
              </c:numCache>
            </c:numRef>
          </c:xVal>
          <c:yVal>
            <c:numRef>
              <c:f>'Forbrugsberegner 2'!$F$8</c:f>
              <c:numCache>
                <c:formatCode>_(* #,##0.00_);_(* \(#,##0.00\);_(* "-"??_);_(@_)</c:formatCode>
                <c:ptCount val="1"/>
              </c:numCache>
            </c:numRef>
          </c:yVal>
          <c:smooth val="0"/>
          <c:extLst>
            <c:ext xmlns:c16="http://schemas.microsoft.com/office/drawing/2014/chart" uri="{C3380CC4-5D6E-409C-BE32-E72D297353CC}">
              <c16:uniqueId val="{00000004-420C-45E8-9131-0F87A91748F9}"/>
            </c:ext>
          </c:extLst>
        </c:ser>
        <c:ser>
          <c:idx val="5"/>
          <c:order val="5"/>
          <c:tx>
            <c:strRef>
              <c:f>'Forbrugsberegner 2'!$C$25</c:f>
              <c:strCache>
                <c:ptCount val="1"/>
              </c:strCache>
            </c:strRef>
          </c:tx>
          <c:spPr>
            <a:ln w="25400" cap="rnd">
              <a:noFill/>
              <a:round/>
            </a:ln>
            <a:effectLst/>
          </c:spPr>
          <c:marker>
            <c:symbol val="none"/>
          </c:marker>
          <c:xVal>
            <c:numRef>
              <c:f>'Forbrugsberegner 2'!$C$26:$C$29</c:f>
              <c:numCache>
                <c:formatCode>_(* #,##0.00_);_(* \(#,##0.00\);_(* "-"??_);_(@_)</c:formatCode>
                <c:ptCount val="4"/>
              </c:numCache>
            </c:numRef>
          </c:xVal>
          <c:yVal>
            <c:numRef>
              <c:f>'Forbrugsberegner 2'!$D$26:$D$29</c:f>
              <c:numCache>
                <c:formatCode>_(* #,##0.00_);_(* \(#,##0.00\);_(* "-"??_);_(@_)</c:formatCode>
                <c:ptCount val="4"/>
              </c:numCache>
            </c:numRef>
          </c:yVal>
          <c:smooth val="0"/>
          <c:extLst>
            <c:ext xmlns:c16="http://schemas.microsoft.com/office/drawing/2014/chart" uri="{C3380CC4-5D6E-409C-BE32-E72D297353CC}">
              <c16:uniqueId val="{00000005-420C-45E8-9131-0F87A91748F9}"/>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2'!$N$14:$N$16</c:f>
              <c:numCache>
                <c:formatCode>_(* #,##0.00_);_(* \(#,##0.00\);_(* "-"??_);_(@_)</c:formatCode>
                <c:ptCount val="3"/>
                <c:pt idx="0">
                  <c:v>1</c:v>
                </c:pt>
                <c:pt idx="1">
                  <c:v>10</c:v>
                </c:pt>
                <c:pt idx="2">
                  <c:v>30</c:v>
                </c:pt>
              </c:numCache>
            </c:numRef>
          </c:xVal>
          <c:yVal>
            <c:numRef>
              <c:f>'Forbrugsberegner 2'!$O$14:$O$16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0-2117-4D90-868A-1896AF5D4945}"/>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2'!$N$23:$N$25</c:f>
              <c:numCache>
                <c:formatCode>_(* #,##0.00_);_(* \(#,##0.00\);_(* "-"??_);_(@_)</c:formatCode>
                <c:ptCount val="3"/>
                <c:pt idx="0">
                  <c:v>1</c:v>
                </c:pt>
                <c:pt idx="1">
                  <c:v>10</c:v>
                </c:pt>
                <c:pt idx="2">
                  <c:v>30</c:v>
                </c:pt>
              </c:numCache>
            </c:numRef>
          </c:xVal>
          <c:yVal>
            <c:numRef>
              <c:f>'Forbrugsberegner 2'!$O$23:$O$25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1948-4B89-88FF-65D6BEE567CB}"/>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2'!$N$32:$N$34</c:f>
              <c:numCache>
                <c:formatCode>_(* #,##0.00_);_(* \(#,##0.00\);_(* "-"??_);_(@_)</c:formatCode>
                <c:ptCount val="3"/>
                <c:pt idx="0">
                  <c:v>1</c:v>
                </c:pt>
                <c:pt idx="1">
                  <c:v>10</c:v>
                </c:pt>
                <c:pt idx="2">
                  <c:v>30</c:v>
                </c:pt>
              </c:numCache>
            </c:numRef>
          </c:xVal>
          <c:yVal>
            <c:numRef>
              <c:f>'Forbrugsberegner 2'!$O$32:$O$34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BE77-4F97-9CA9-F6ACC98C508E}"/>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2'!$N$41:$N$43</c:f>
              <c:numCache>
                <c:formatCode>_(* #,##0.00_);_(* \(#,##0.00\);_(* "-"??_);_(@_)</c:formatCode>
                <c:ptCount val="3"/>
                <c:pt idx="0">
                  <c:v>1</c:v>
                </c:pt>
                <c:pt idx="1">
                  <c:v>10</c:v>
                </c:pt>
                <c:pt idx="2">
                  <c:v>30</c:v>
                </c:pt>
              </c:numCache>
            </c:numRef>
          </c:xVal>
          <c:yVal>
            <c:numRef>
              <c:f>'Forbrugsberegner 2'!$O$41:$O$43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4D91-4ADF-97C2-8CC335F047D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2'!$N$50:$N$52</c:f>
              <c:numCache>
                <c:formatCode>_(* #,##0.00_);_(* \(#,##0.00\);_(* "-"??_);_(@_)</c:formatCode>
                <c:ptCount val="3"/>
                <c:pt idx="0">
                  <c:v>1</c:v>
                </c:pt>
                <c:pt idx="1">
                  <c:v>10</c:v>
                </c:pt>
                <c:pt idx="2">
                  <c:v>30</c:v>
                </c:pt>
              </c:numCache>
            </c:numRef>
          </c:xVal>
          <c:yVal>
            <c:numRef>
              <c:f>'Forbrugsberegner 2'!$O$50:$O$52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AE49-487B-978B-35933A7FD8AF}"/>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5'!$AB$4:$AB$6</c:f>
              <c:numCache>
                <c:formatCode>_(* #,##0.00_);_(* \(#,##0.00\);_(* "-"??_);_(@_)</c:formatCode>
                <c:ptCount val="3"/>
                <c:pt idx="0">
                  <c:v>1000</c:v>
                </c:pt>
                <c:pt idx="1">
                  <c:v>100</c:v>
                </c:pt>
                <c:pt idx="2">
                  <c:v>10</c:v>
                </c:pt>
              </c:numCache>
            </c:numRef>
          </c:xVal>
          <c:yVal>
            <c:numRef>
              <c:f>'Forbrugsberegner 5'!$AC$4:$AC$6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B850-4713-B5AA-BD5EB0D5509F}"/>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5'!$N$4:$N$8</c:f>
              <c:strCache>
                <c:ptCount val="5"/>
                <c:pt idx="0">
                  <c:v>Træpiller</c:v>
                </c:pt>
                <c:pt idx="1">
                  <c:v>Brænde</c:v>
                </c:pt>
                <c:pt idx="2">
                  <c:v>Flis</c:v>
                </c:pt>
                <c:pt idx="3">
                  <c:v>Halm</c:v>
                </c:pt>
                <c:pt idx="4">
                  <c:v>Olie</c:v>
                </c:pt>
              </c:strCache>
            </c:strRef>
          </c:cat>
          <c:val>
            <c:numRef>
              <c:f>'Forbrugsberegner 5'!$O$4:$O$8</c:f>
              <c:numCache>
                <c:formatCode>_(* #,##0.00_);_(* \(#,##0.00\);_(* "-"??_);_(@_)</c:formatCode>
                <c:ptCount val="5"/>
                <c:pt idx="0">
                  <c:v>0.51843511609559978</c:v>
                </c:pt>
                <c:pt idx="1">
                  <c:v>0.47517343190976091</c:v>
                </c:pt>
                <c:pt idx="2">
                  <c:v>0.46308576874692875</c:v>
                </c:pt>
                <c:pt idx="3">
                  <c:v>0.3634870740495868</c:v>
                </c:pt>
                <c:pt idx="4">
                  <c:v>0.49803511609559975</c:v>
                </c:pt>
              </c:numCache>
            </c:numRef>
          </c:val>
          <c:smooth val="0"/>
          <c:extLst>
            <c:ext xmlns:c16="http://schemas.microsoft.com/office/drawing/2014/chart" uri="{C3380CC4-5D6E-409C-BE32-E72D297353CC}">
              <c16:uniqueId val="{00000000-4691-4786-82E9-B6F517896C2B}"/>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5'!$H$12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5'!$G$13:$G$15</c:f>
              <c:numCache>
                <c:formatCode>_(* #,##0.00_);_(* \(#,##0.00\);_(* "-"??_);_(@_)</c:formatCode>
                <c:ptCount val="3"/>
                <c:pt idx="0">
                  <c:v>1</c:v>
                </c:pt>
                <c:pt idx="1">
                  <c:v>10</c:v>
                </c:pt>
                <c:pt idx="2">
                  <c:v>30</c:v>
                </c:pt>
              </c:numCache>
            </c:numRef>
          </c:xVal>
          <c:yVal>
            <c:numRef>
              <c:f>'Forbrugsberegner 5'!$H$13:$H$15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15DA-4D98-8713-6FC62EB208DD}"/>
            </c:ext>
          </c:extLst>
        </c:ser>
        <c:ser>
          <c:idx val="1"/>
          <c:order val="1"/>
          <c:tx>
            <c:strRef>
              <c:f>'Forbrugsberegner 5'!$I$12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5'!$G$13:$G$15</c:f>
              <c:numCache>
                <c:formatCode>_(* #,##0.00_);_(* \(#,##0.00\);_(* "-"??_);_(@_)</c:formatCode>
                <c:ptCount val="3"/>
                <c:pt idx="0">
                  <c:v>1</c:v>
                </c:pt>
                <c:pt idx="1">
                  <c:v>10</c:v>
                </c:pt>
                <c:pt idx="2">
                  <c:v>30</c:v>
                </c:pt>
              </c:numCache>
            </c:numRef>
          </c:xVal>
          <c:yVal>
            <c:numRef>
              <c:f>'Forbrugsberegner 5'!$I$13:$I$15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15DA-4D98-8713-6FC62EB208DD}"/>
            </c:ext>
          </c:extLst>
        </c:ser>
        <c:ser>
          <c:idx val="2"/>
          <c:order val="2"/>
          <c:tx>
            <c:strRef>
              <c:f>'Forbrugsberegner 5'!$J$12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5'!$G$13:$G$15</c:f>
              <c:numCache>
                <c:formatCode>_(* #,##0.00_);_(* \(#,##0.00\);_(* "-"??_);_(@_)</c:formatCode>
                <c:ptCount val="3"/>
                <c:pt idx="0">
                  <c:v>1</c:v>
                </c:pt>
                <c:pt idx="1">
                  <c:v>10</c:v>
                </c:pt>
                <c:pt idx="2">
                  <c:v>30</c:v>
                </c:pt>
              </c:numCache>
            </c:numRef>
          </c:xVal>
          <c:yVal>
            <c:numRef>
              <c:f>'Forbrugsberegner 5'!$J$13:$J$15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15DA-4D98-8713-6FC62EB208DD}"/>
            </c:ext>
          </c:extLst>
        </c:ser>
        <c:ser>
          <c:idx val="3"/>
          <c:order val="3"/>
          <c:tx>
            <c:strRef>
              <c:f>'Forbrugsberegner 5'!$K$12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5'!$G$13:$G$15</c:f>
              <c:numCache>
                <c:formatCode>_(* #,##0.00_);_(* \(#,##0.00\);_(* "-"??_);_(@_)</c:formatCode>
                <c:ptCount val="3"/>
                <c:pt idx="0">
                  <c:v>1</c:v>
                </c:pt>
                <c:pt idx="1">
                  <c:v>10</c:v>
                </c:pt>
                <c:pt idx="2">
                  <c:v>30</c:v>
                </c:pt>
              </c:numCache>
            </c:numRef>
          </c:xVal>
          <c:yVal>
            <c:numRef>
              <c:f>'Forbrugsberegner 5'!$K$13:$K$15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15DA-4D98-8713-6FC62EB208DD}"/>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5'!$D$5</c:f>
              <c:numCache>
                <c:formatCode>_(* #,##0.00_);_(* \(#,##0.00\);_(* "-"??_);_(@_)</c:formatCode>
                <c:ptCount val="1"/>
                <c:pt idx="0">
                  <c:v>2023</c:v>
                </c:pt>
              </c:numCache>
            </c:numRef>
          </c:xVal>
          <c:yVal>
            <c:numRef>
              <c:f>'Forbrugsberegner 5'!$F$8</c:f>
              <c:numCache>
                <c:formatCode>_(* #,##0.00_);_(* \(#,##0.00\);_(* "-"??_);_(@_)</c:formatCode>
                <c:ptCount val="1"/>
              </c:numCache>
            </c:numRef>
          </c:yVal>
          <c:smooth val="0"/>
          <c:extLst>
            <c:ext xmlns:c16="http://schemas.microsoft.com/office/drawing/2014/chart" uri="{C3380CC4-5D6E-409C-BE32-E72D297353CC}">
              <c16:uniqueId val="{00000004-15DA-4D98-8713-6FC62EB208DD}"/>
            </c:ext>
          </c:extLst>
        </c:ser>
        <c:ser>
          <c:idx val="5"/>
          <c:order val="5"/>
          <c:tx>
            <c:strRef>
              <c:f>'Forbrugsberegner 5'!$C$25</c:f>
              <c:strCache>
                <c:ptCount val="1"/>
              </c:strCache>
            </c:strRef>
          </c:tx>
          <c:spPr>
            <a:ln w="25400" cap="rnd">
              <a:noFill/>
              <a:round/>
            </a:ln>
            <a:effectLst/>
          </c:spPr>
          <c:marker>
            <c:symbol val="none"/>
          </c:marker>
          <c:xVal>
            <c:numRef>
              <c:f>'Forbrugsberegner 5'!$C$26:$C$29</c:f>
              <c:numCache>
                <c:formatCode>_(* #,##0.00_);_(* \(#,##0.00\);_(* "-"??_);_(@_)</c:formatCode>
                <c:ptCount val="4"/>
              </c:numCache>
            </c:numRef>
          </c:xVal>
          <c:yVal>
            <c:numRef>
              <c:f>'Forbrugsberegner 5'!$D$26:$D$29</c:f>
              <c:numCache>
                <c:formatCode>_(* #,##0.00_);_(* \(#,##0.00\);_(* "-"??_);_(@_)</c:formatCode>
                <c:ptCount val="4"/>
              </c:numCache>
            </c:numRef>
          </c:yVal>
          <c:smooth val="0"/>
          <c:extLst>
            <c:ext xmlns:c16="http://schemas.microsoft.com/office/drawing/2014/chart" uri="{C3380CC4-5D6E-409C-BE32-E72D297353CC}">
              <c16:uniqueId val="{00000005-15DA-4D98-8713-6FC62EB208DD}"/>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1'!$N$4:$N$8</c:f>
              <c:strCache>
                <c:ptCount val="5"/>
                <c:pt idx="0">
                  <c:v>Træpiller</c:v>
                </c:pt>
                <c:pt idx="1">
                  <c:v>Brænde</c:v>
                </c:pt>
                <c:pt idx="2">
                  <c:v>Flis</c:v>
                </c:pt>
                <c:pt idx="3">
                  <c:v>Halm</c:v>
                </c:pt>
                <c:pt idx="4">
                  <c:v>Olie</c:v>
                </c:pt>
              </c:strCache>
            </c:strRef>
          </c:cat>
          <c:val>
            <c:numRef>
              <c:f>'Forbrugsberegner 1'!$O$4:$O$8</c:f>
              <c:numCache>
                <c:formatCode>_(* #,##0.00_);_(* \(#,##0.00\);_(* "-"??_);_(@_)</c:formatCode>
                <c:ptCount val="5"/>
                <c:pt idx="0">
                  <c:v>0.51843511609559978</c:v>
                </c:pt>
                <c:pt idx="1">
                  <c:v>0.47517343190976091</c:v>
                </c:pt>
                <c:pt idx="2">
                  <c:v>0.46308576874692875</c:v>
                </c:pt>
                <c:pt idx="3">
                  <c:v>0.3634870740495868</c:v>
                </c:pt>
                <c:pt idx="4">
                  <c:v>0.49803511609559975</c:v>
                </c:pt>
              </c:numCache>
            </c:numRef>
          </c:val>
          <c:smooth val="0"/>
          <c:extLst>
            <c:ext xmlns:c16="http://schemas.microsoft.com/office/drawing/2014/chart" uri="{C3380CC4-5D6E-409C-BE32-E72D297353CC}">
              <c16:uniqueId val="{00000000-AEE0-40E7-90CF-5B1894894559}"/>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5'!$N$14:$N$16</c:f>
              <c:numCache>
                <c:formatCode>_(* #,##0.00_);_(* \(#,##0.00\);_(* "-"??_);_(@_)</c:formatCode>
                <c:ptCount val="3"/>
                <c:pt idx="0">
                  <c:v>1</c:v>
                </c:pt>
                <c:pt idx="1">
                  <c:v>10</c:v>
                </c:pt>
                <c:pt idx="2">
                  <c:v>30</c:v>
                </c:pt>
              </c:numCache>
            </c:numRef>
          </c:xVal>
          <c:yVal>
            <c:numRef>
              <c:f>'Forbrugsberegner 5'!$O$14:$O$16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0-8026-490F-82CC-7A4676BF9742}"/>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5'!$N$23:$N$25</c:f>
              <c:numCache>
                <c:formatCode>_(* #,##0.00_);_(* \(#,##0.00\);_(* "-"??_);_(@_)</c:formatCode>
                <c:ptCount val="3"/>
                <c:pt idx="0">
                  <c:v>1</c:v>
                </c:pt>
                <c:pt idx="1">
                  <c:v>10</c:v>
                </c:pt>
                <c:pt idx="2">
                  <c:v>30</c:v>
                </c:pt>
              </c:numCache>
            </c:numRef>
          </c:xVal>
          <c:yVal>
            <c:numRef>
              <c:f>'Forbrugsberegner 5'!$O$23:$O$25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5A5F-4E1F-AAFD-8887192B41D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5'!$N$32:$N$34</c:f>
              <c:numCache>
                <c:formatCode>_(* #,##0.00_);_(* \(#,##0.00\);_(* "-"??_);_(@_)</c:formatCode>
                <c:ptCount val="3"/>
                <c:pt idx="0">
                  <c:v>1</c:v>
                </c:pt>
                <c:pt idx="1">
                  <c:v>10</c:v>
                </c:pt>
                <c:pt idx="2">
                  <c:v>30</c:v>
                </c:pt>
              </c:numCache>
            </c:numRef>
          </c:xVal>
          <c:yVal>
            <c:numRef>
              <c:f>'Forbrugsberegner 5'!$O$32:$O$34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9C5A-4FEE-8886-E7917FB9B94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5'!$N$41:$N$43</c:f>
              <c:numCache>
                <c:formatCode>_(* #,##0.00_);_(* \(#,##0.00\);_(* "-"??_);_(@_)</c:formatCode>
                <c:ptCount val="3"/>
                <c:pt idx="0">
                  <c:v>1</c:v>
                </c:pt>
                <c:pt idx="1">
                  <c:v>10</c:v>
                </c:pt>
                <c:pt idx="2">
                  <c:v>30</c:v>
                </c:pt>
              </c:numCache>
            </c:numRef>
          </c:xVal>
          <c:yVal>
            <c:numRef>
              <c:f>'Forbrugsberegner 5'!$O$41:$O$43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04A5-4003-887D-F5DBF1CCF6E6}"/>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5'!$N$50:$N$52</c:f>
              <c:numCache>
                <c:formatCode>_(* #,##0.00_);_(* \(#,##0.00\);_(* "-"??_);_(@_)</c:formatCode>
                <c:ptCount val="3"/>
                <c:pt idx="0">
                  <c:v>1</c:v>
                </c:pt>
                <c:pt idx="1">
                  <c:v>10</c:v>
                </c:pt>
                <c:pt idx="2">
                  <c:v>30</c:v>
                </c:pt>
              </c:numCache>
            </c:numRef>
          </c:xVal>
          <c:yVal>
            <c:numRef>
              <c:f>'Forbrugsberegner 5'!$O$50:$O$52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8865-4FA3-A730-2A8FA05F0C24}"/>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Virkningsgrad</c:v>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1.8402153811117466E-3"/>
                  <c:y val="8.378974545820953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trendlineLbl>
          </c:trendline>
          <c:cat>
            <c:numLit>
              <c:formatCode>General</c:formatCode>
              <c:ptCount val="7"/>
              <c:pt idx="0">
                <c:v>0</c:v>
              </c:pt>
              <c:pt idx="1">
                <c:v>10</c:v>
              </c:pt>
              <c:pt idx="2">
                <c:v>20</c:v>
              </c:pt>
              <c:pt idx="3">
                <c:v>30</c:v>
              </c:pt>
              <c:pt idx="4">
                <c:v>40</c:v>
              </c:pt>
              <c:pt idx="5">
                <c:v>50</c:v>
              </c:pt>
              <c:pt idx="6">
                <c:v>72</c:v>
              </c:pt>
            </c:numLit>
          </c:cat>
          <c:val>
            <c:numLit>
              <c:formatCode>0%</c:formatCode>
              <c:ptCount val="7"/>
              <c:pt idx="0">
                <c:v>0.97</c:v>
              </c:pt>
              <c:pt idx="1">
                <c:v>0.95</c:v>
              </c:pt>
              <c:pt idx="2">
                <c:v>0.92</c:v>
              </c:pt>
              <c:pt idx="3">
                <c:v>0.88</c:v>
              </c:pt>
              <c:pt idx="4">
                <c:v>0.83</c:v>
              </c:pt>
              <c:pt idx="5">
                <c:v>0.77</c:v>
              </c:pt>
              <c:pt idx="6">
                <c:v>0.77</c:v>
              </c:pt>
            </c:numLit>
          </c:val>
          <c:smooth val="0"/>
          <c:extLst>
            <c:ext xmlns:c16="http://schemas.microsoft.com/office/drawing/2014/chart" uri="{C3380CC4-5D6E-409C-BE32-E72D297353CC}">
              <c16:uniqueId val="{00000000-9EF1-4DA8-8648-08FA0248A49B}"/>
            </c:ext>
          </c:extLst>
        </c:ser>
        <c:ser>
          <c:idx val="1"/>
          <c:order val="1"/>
          <c:tx>
            <c:v>Column1</c:v>
          </c:tx>
          <c:spPr>
            <a:ln w="28575" cap="rnd">
              <a:solidFill>
                <a:schemeClr val="accent2"/>
              </a:solidFill>
              <a:round/>
            </a:ln>
            <a:effectLst/>
          </c:spPr>
          <c:marker>
            <c:symbol val="none"/>
          </c:marker>
          <c:cat>
            <c:numLit>
              <c:formatCode>General</c:formatCode>
              <c:ptCount val="7"/>
              <c:pt idx="0">
                <c:v>0</c:v>
              </c:pt>
              <c:pt idx="1">
                <c:v>10</c:v>
              </c:pt>
              <c:pt idx="2">
                <c:v>20</c:v>
              </c:pt>
              <c:pt idx="3">
                <c:v>30</c:v>
              </c:pt>
              <c:pt idx="4">
                <c:v>40</c:v>
              </c:pt>
              <c:pt idx="5">
                <c:v>50</c:v>
              </c:pt>
              <c:pt idx="6">
                <c:v>72</c:v>
              </c:pt>
            </c:numLit>
          </c:cat>
          <c:val>
            <c:numLit>
              <c:formatCode>General</c:formatCode>
              <c:ptCount val="7"/>
              <c:pt idx="0">
                <c:v>0.9718</c:v>
              </c:pt>
              <c:pt idx="1">
                <c:v>0.93968739021329983</c:v>
              </c:pt>
              <c:pt idx="2">
                <c:v>0.90757478042659978</c:v>
              </c:pt>
              <c:pt idx="3">
                <c:v>0.87546217063989962</c:v>
              </c:pt>
              <c:pt idx="4">
                <c:v>0.84334956085319956</c:v>
              </c:pt>
              <c:pt idx="5">
                <c:v>0.8112369510664994</c:v>
              </c:pt>
              <c:pt idx="6">
                <c:v>0.74058920953575913</c:v>
              </c:pt>
            </c:numLit>
          </c:val>
          <c:smooth val="0"/>
          <c:extLst>
            <c:ext xmlns:c16="http://schemas.microsoft.com/office/drawing/2014/chart" uri="{C3380CC4-5D6E-409C-BE32-E72D297353CC}">
              <c16:uniqueId val="{00000001-9EF1-4DA8-8648-08FA0248A49B}"/>
            </c:ext>
          </c:extLst>
        </c:ser>
        <c:dLbls>
          <c:showLegendKey val="0"/>
          <c:showVal val="0"/>
          <c:showCatName val="0"/>
          <c:showSerName val="0"/>
          <c:showPercent val="0"/>
          <c:showBubbleSize val="0"/>
        </c:dLbls>
        <c:smooth val="0"/>
        <c:axId val="774599488"/>
        <c:axId val="774601128"/>
      </c:lineChart>
      <c:catAx>
        <c:axId val="77459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74601128"/>
        <c:crosses val="autoZero"/>
        <c:auto val="1"/>
        <c:lblAlgn val="ctr"/>
        <c:lblOffset val="100"/>
        <c:noMultiLvlLbl val="0"/>
      </c:catAx>
      <c:valAx>
        <c:axId val="774601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7459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v>Virkningsgrad</c:v>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cat>
            <c:numLit>
              <c:formatCode>General</c:formatCode>
              <c:ptCount val="7"/>
              <c:pt idx="0">
                <c:v>0</c:v>
              </c:pt>
              <c:pt idx="1">
                <c:v>10</c:v>
              </c:pt>
              <c:pt idx="2">
                <c:v>20</c:v>
              </c:pt>
              <c:pt idx="3">
                <c:v>30</c:v>
              </c:pt>
              <c:pt idx="4">
                <c:v>40</c:v>
              </c:pt>
              <c:pt idx="5">
                <c:v>50</c:v>
              </c:pt>
              <c:pt idx="6">
                <c:v>72</c:v>
              </c:pt>
            </c:numLit>
          </c:cat>
          <c:val>
            <c:numLit>
              <c:formatCode>0%</c:formatCode>
              <c:ptCount val="7"/>
              <c:pt idx="0">
                <c:v>0.95</c:v>
              </c:pt>
              <c:pt idx="1">
                <c:v>0.92</c:v>
              </c:pt>
              <c:pt idx="2">
                <c:v>0.88</c:v>
              </c:pt>
              <c:pt idx="3">
                <c:v>0.83</c:v>
              </c:pt>
              <c:pt idx="4">
                <c:v>0.77</c:v>
              </c:pt>
              <c:pt idx="5">
                <c:v>0.72</c:v>
              </c:pt>
              <c:pt idx="6">
                <c:v>0.72</c:v>
              </c:pt>
            </c:numLit>
          </c:val>
          <c:smooth val="0"/>
          <c:extLst>
            <c:ext xmlns:c16="http://schemas.microsoft.com/office/drawing/2014/chart" uri="{C3380CC4-5D6E-409C-BE32-E72D297353CC}">
              <c16:uniqueId val="{00000000-5DCD-4224-9769-B92EAA76F6C6}"/>
            </c:ext>
          </c:extLst>
        </c:ser>
        <c:dLbls>
          <c:showLegendKey val="0"/>
          <c:showVal val="0"/>
          <c:showCatName val="0"/>
          <c:showSerName val="0"/>
          <c:showPercent val="0"/>
          <c:showBubbleSize val="0"/>
        </c:dLbls>
        <c:smooth val="0"/>
        <c:axId val="739816936"/>
        <c:axId val="739818248"/>
      </c:lineChart>
      <c:catAx>
        <c:axId val="739816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39818248"/>
        <c:crosses val="autoZero"/>
        <c:auto val="1"/>
        <c:lblAlgn val="ctr"/>
        <c:lblOffset val="100"/>
        <c:noMultiLvlLbl val="0"/>
      </c:catAx>
      <c:valAx>
        <c:axId val="739818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39816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3'!$AB$4:$AB$6</c:f>
              <c:numCache>
                <c:formatCode>_(* #,##0.00_);_(* \(#,##0.00\);_(* "-"??_);_(@_)</c:formatCode>
                <c:ptCount val="3"/>
                <c:pt idx="0">
                  <c:v>1000</c:v>
                </c:pt>
                <c:pt idx="1">
                  <c:v>100</c:v>
                </c:pt>
                <c:pt idx="2">
                  <c:v>10</c:v>
                </c:pt>
              </c:numCache>
            </c:numRef>
          </c:xVal>
          <c:yVal>
            <c:numRef>
              <c:f>'Forbrugsberegner 3'!$AC$4:$AC$6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BA02-4A74-815B-FD56A2822281}"/>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3'!$N$4:$N$8</c:f>
              <c:strCache>
                <c:ptCount val="5"/>
                <c:pt idx="0">
                  <c:v>Træpiller</c:v>
                </c:pt>
                <c:pt idx="1">
                  <c:v>Brænde</c:v>
                </c:pt>
                <c:pt idx="2">
                  <c:v>Flis</c:v>
                </c:pt>
                <c:pt idx="3">
                  <c:v>Halm</c:v>
                </c:pt>
                <c:pt idx="4">
                  <c:v>Olie</c:v>
                </c:pt>
              </c:strCache>
            </c:strRef>
          </c:cat>
          <c:val>
            <c:numRef>
              <c:f>'Forbrugsberegner 3'!$O$4:$O$8</c:f>
              <c:numCache>
                <c:formatCode>_(* #,##0.00_);_(* \(#,##0.00\);_(* "-"??_);_(@_)</c:formatCode>
                <c:ptCount val="5"/>
                <c:pt idx="0">
                  <c:v>0.51843511609559978</c:v>
                </c:pt>
                <c:pt idx="1">
                  <c:v>0.47517343190976091</c:v>
                </c:pt>
                <c:pt idx="2">
                  <c:v>0.46308576874692875</c:v>
                </c:pt>
                <c:pt idx="3">
                  <c:v>0.3634870740495868</c:v>
                </c:pt>
                <c:pt idx="4">
                  <c:v>0.49803511609559975</c:v>
                </c:pt>
              </c:numCache>
            </c:numRef>
          </c:val>
          <c:smooth val="0"/>
          <c:extLst>
            <c:ext xmlns:c16="http://schemas.microsoft.com/office/drawing/2014/chart" uri="{C3380CC4-5D6E-409C-BE32-E72D297353CC}">
              <c16:uniqueId val="{00000000-01DB-4188-886B-111ADA39CD4D}"/>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3'!$H$12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3'!$G$13:$G$15</c:f>
              <c:numCache>
                <c:formatCode>_(* #,##0.00_);_(* \(#,##0.00\);_(* "-"??_);_(@_)</c:formatCode>
                <c:ptCount val="3"/>
                <c:pt idx="0">
                  <c:v>1</c:v>
                </c:pt>
                <c:pt idx="1">
                  <c:v>10</c:v>
                </c:pt>
                <c:pt idx="2">
                  <c:v>30</c:v>
                </c:pt>
              </c:numCache>
            </c:numRef>
          </c:xVal>
          <c:yVal>
            <c:numRef>
              <c:f>'Forbrugsberegner 3'!$H$13:$H$15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1884-48D6-85E4-7B5D6BD4DABC}"/>
            </c:ext>
          </c:extLst>
        </c:ser>
        <c:ser>
          <c:idx val="1"/>
          <c:order val="1"/>
          <c:tx>
            <c:strRef>
              <c:f>'Forbrugsberegner 3'!$I$12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3'!$G$13:$G$15</c:f>
              <c:numCache>
                <c:formatCode>_(* #,##0.00_);_(* \(#,##0.00\);_(* "-"??_);_(@_)</c:formatCode>
                <c:ptCount val="3"/>
                <c:pt idx="0">
                  <c:v>1</c:v>
                </c:pt>
                <c:pt idx="1">
                  <c:v>10</c:v>
                </c:pt>
                <c:pt idx="2">
                  <c:v>30</c:v>
                </c:pt>
              </c:numCache>
            </c:numRef>
          </c:xVal>
          <c:yVal>
            <c:numRef>
              <c:f>'Forbrugsberegner 3'!$I$13:$I$15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1884-48D6-85E4-7B5D6BD4DABC}"/>
            </c:ext>
          </c:extLst>
        </c:ser>
        <c:ser>
          <c:idx val="2"/>
          <c:order val="2"/>
          <c:tx>
            <c:strRef>
              <c:f>'Forbrugsberegner 3'!$J$12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3'!$G$13:$G$15</c:f>
              <c:numCache>
                <c:formatCode>_(* #,##0.00_);_(* \(#,##0.00\);_(* "-"??_);_(@_)</c:formatCode>
                <c:ptCount val="3"/>
                <c:pt idx="0">
                  <c:v>1</c:v>
                </c:pt>
                <c:pt idx="1">
                  <c:v>10</c:v>
                </c:pt>
                <c:pt idx="2">
                  <c:v>30</c:v>
                </c:pt>
              </c:numCache>
            </c:numRef>
          </c:xVal>
          <c:yVal>
            <c:numRef>
              <c:f>'Forbrugsberegner 3'!$J$13:$J$15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1884-48D6-85E4-7B5D6BD4DABC}"/>
            </c:ext>
          </c:extLst>
        </c:ser>
        <c:ser>
          <c:idx val="3"/>
          <c:order val="3"/>
          <c:tx>
            <c:strRef>
              <c:f>'Forbrugsberegner 3'!$K$12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3'!$G$13:$G$15</c:f>
              <c:numCache>
                <c:formatCode>_(* #,##0.00_);_(* \(#,##0.00\);_(* "-"??_);_(@_)</c:formatCode>
                <c:ptCount val="3"/>
                <c:pt idx="0">
                  <c:v>1</c:v>
                </c:pt>
                <c:pt idx="1">
                  <c:v>10</c:v>
                </c:pt>
                <c:pt idx="2">
                  <c:v>30</c:v>
                </c:pt>
              </c:numCache>
            </c:numRef>
          </c:xVal>
          <c:yVal>
            <c:numRef>
              <c:f>'Forbrugsberegner 3'!$K$13:$K$15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1884-48D6-85E4-7B5D6BD4DABC}"/>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3'!$D$5</c:f>
              <c:numCache>
                <c:formatCode>_(* #,##0.00_);_(* \(#,##0.00\);_(* "-"??_);_(@_)</c:formatCode>
                <c:ptCount val="1"/>
                <c:pt idx="0">
                  <c:v>2023</c:v>
                </c:pt>
              </c:numCache>
            </c:numRef>
          </c:xVal>
          <c:yVal>
            <c:numRef>
              <c:f>'Forbrugsberegner 3'!$F$8</c:f>
              <c:numCache>
                <c:formatCode>_(* #,##0.00_);_(* \(#,##0.00\);_(* "-"??_);_(@_)</c:formatCode>
                <c:ptCount val="1"/>
              </c:numCache>
            </c:numRef>
          </c:yVal>
          <c:smooth val="0"/>
          <c:extLst>
            <c:ext xmlns:c16="http://schemas.microsoft.com/office/drawing/2014/chart" uri="{C3380CC4-5D6E-409C-BE32-E72D297353CC}">
              <c16:uniqueId val="{00000004-1884-48D6-85E4-7B5D6BD4DABC}"/>
            </c:ext>
          </c:extLst>
        </c:ser>
        <c:ser>
          <c:idx val="5"/>
          <c:order val="5"/>
          <c:tx>
            <c:strRef>
              <c:f>'Forbrugsberegner 3'!$C$25</c:f>
              <c:strCache>
                <c:ptCount val="1"/>
              </c:strCache>
            </c:strRef>
          </c:tx>
          <c:spPr>
            <a:ln w="25400" cap="rnd">
              <a:noFill/>
              <a:round/>
            </a:ln>
            <a:effectLst/>
          </c:spPr>
          <c:marker>
            <c:symbol val="none"/>
          </c:marker>
          <c:xVal>
            <c:numRef>
              <c:f>'Forbrugsberegner 3'!$C$26:$C$29</c:f>
              <c:numCache>
                <c:formatCode>_(* #,##0.00_);_(* \(#,##0.00\);_(* "-"??_);_(@_)</c:formatCode>
                <c:ptCount val="4"/>
              </c:numCache>
            </c:numRef>
          </c:xVal>
          <c:yVal>
            <c:numRef>
              <c:f>'Forbrugsberegner 3'!$D$26:$D$29</c:f>
              <c:numCache>
                <c:formatCode>_(* #,##0.00_);_(* \(#,##0.00\);_(* "-"??_);_(@_)</c:formatCode>
                <c:ptCount val="4"/>
              </c:numCache>
            </c:numRef>
          </c:yVal>
          <c:smooth val="0"/>
          <c:extLst>
            <c:ext xmlns:c16="http://schemas.microsoft.com/office/drawing/2014/chart" uri="{C3380CC4-5D6E-409C-BE32-E72D297353CC}">
              <c16:uniqueId val="{00000005-1884-48D6-85E4-7B5D6BD4DABC}"/>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1'!$H$12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1'!$G$13:$G$15</c:f>
              <c:numCache>
                <c:formatCode>_(* #,##0.00_);_(* \(#,##0.00\);_(* "-"??_);_(@_)</c:formatCode>
                <c:ptCount val="3"/>
                <c:pt idx="0">
                  <c:v>1</c:v>
                </c:pt>
                <c:pt idx="1">
                  <c:v>10</c:v>
                </c:pt>
                <c:pt idx="2">
                  <c:v>30</c:v>
                </c:pt>
              </c:numCache>
            </c:numRef>
          </c:xVal>
          <c:yVal>
            <c:numRef>
              <c:f>'Forbrugsberegner 1'!$H$13:$H$15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74EA-4B31-874D-4B3831D47BA4}"/>
            </c:ext>
          </c:extLst>
        </c:ser>
        <c:ser>
          <c:idx val="1"/>
          <c:order val="1"/>
          <c:tx>
            <c:strRef>
              <c:f>'Forbrugsberegner 1'!$I$12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1'!$G$13:$G$15</c:f>
              <c:numCache>
                <c:formatCode>_(* #,##0.00_);_(* \(#,##0.00\);_(* "-"??_);_(@_)</c:formatCode>
                <c:ptCount val="3"/>
                <c:pt idx="0">
                  <c:v>1</c:v>
                </c:pt>
                <c:pt idx="1">
                  <c:v>10</c:v>
                </c:pt>
                <c:pt idx="2">
                  <c:v>30</c:v>
                </c:pt>
              </c:numCache>
            </c:numRef>
          </c:xVal>
          <c:yVal>
            <c:numRef>
              <c:f>'Forbrugsberegner 1'!$I$13:$I$15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74EA-4B31-874D-4B3831D47BA4}"/>
            </c:ext>
          </c:extLst>
        </c:ser>
        <c:ser>
          <c:idx val="2"/>
          <c:order val="2"/>
          <c:tx>
            <c:strRef>
              <c:f>'Forbrugsberegner 1'!$J$12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1'!$G$13:$G$15</c:f>
              <c:numCache>
                <c:formatCode>_(* #,##0.00_);_(* \(#,##0.00\);_(* "-"??_);_(@_)</c:formatCode>
                <c:ptCount val="3"/>
                <c:pt idx="0">
                  <c:v>1</c:v>
                </c:pt>
                <c:pt idx="1">
                  <c:v>10</c:v>
                </c:pt>
                <c:pt idx="2">
                  <c:v>30</c:v>
                </c:pt>
              </c:numCache>
            </c:numRef>
          </c:xVal>
          <c:yVal>
            <c:numRef>
              <c:f>'Forbrugsberegner 1'!$J$13:$J$15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74EA-4B31-874D-4B3831D47BA4}"/>
            </c:ext>
          </c:extLst>
        </c:ser>
        <c:ser>
          <c:idx val="3"/>
          <c:order val="3"/>
          <c:tx>
            <c:strRef>
              <c:f>'Forbrugsberegner 1'!$K$12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1'!$G$13:$G$15</c:f>
              <c:numCache>
                <c:formatCode>_(* #,##0.00_);_(* \(#,##0.00\);_(* "-"??_);_(@_)</c:formatCode>
                <c:ptCount val="3"/>
                <c:pt idx="0">
                  <c:v>1</c:v>
                </c:pt>
                <c:pt idx="1">
                  <c:v>10</c:v>
                </c:pt>
                <c:pt idx="2">
                  <c:v>30</c:v>
                </c:pt>
              </c:numCache>
            </c:numRef>
          </c:xVal>
          <c:yVal>
            <c:numRef>
              <c:f>'Forbrugsberegner 1'!$K$13:$K$15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74EA-4B31-874D-4B3831D47BA4}"/>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1'!$D$5</c:f>
              <c:numCache>
                <c:formatCode>_(* #,##0.00_);_(* \(#,##0.00\);_(* "-"??_);_(@_)</c:formatCode>
                <c:ptCount val="1"/>
                <c:pt idx="0">
                  <c:v>2023</c:v>
                </c:pt>
              </c:numCache>
            </c:numRef>
          </c:xVal>
          <c:yVal>
            <c:numRef>
              <c:f>'Forbrugsberegner 1'!$F$8</c:f>
              <c:numCache>
                <c:formatCode>_(* #,##0.00_);_(* \(#,##0.00\);_(* "-"??_);_(@_)</c:formatCode>
                <c:ptCount val="1"/>
              </c:numCache>
            </c:numRef>
          </c:yVal>
          <c:smooth val="0"/>
          <c:extLst>
            <c:ext xmlns:c16="http://schemas.microsoft.com/office/drawing/2014/chart" uri="{C3380CC4-5D6E-409C-BE32-E72D297353CC}">
              <c16:uniqueId val="{00000008-74EA-4B31-874D-4B3831D47BA4}"/>
            </c:ext>
          </c:extLst>
        </c:ser>
        <c:ser>
          <c:idx val="5"/>
          <c:order val="5"/>
          <c:tx>
            <c:strRef>
              <c:f>'Forbrugsberegner 1'!$C$25</c:f>
              <c:strCache>
                <c:ptCount val="1"/>
              </c:strCache>
            </c:strRef>
          </c:tx>
          <c:spPr>
            <a:ln w="25400" cap="rnd">
              <a:noFill/>
              <a:round/>
            </a:ln>
            <a:effectLst/>
          </c:spPr>
          <c:marker>
            <c:symbol val="none"/>
          </c:marker>
          <c:xVal>
            <c:numRef>
              <c:f>'Forbrugsberegner 1'!$C$26:$C$29</c:f>
              <c:numCache>
                <c:formatCode>_(* #,##0.00_);_(* \(#,##0.00\);_(* "-"??_);_(@_)</c:formatCode>
                <c:ptCount val="4"/>
              </c:numCache>
            </c:numRef>
          </c:xVal>
          <c:yVal>
            <c:numRef>
              <c:f>'Forbrugsberegner 1'!$D$26:$D$29</c:f>
              <c:numCache>
                <c:formatCode>_(* #,##0.00_);_(* \(#,##0.00\);_(* "-"??_);_(@_)</c:formatCode>
                <c:ptCount val="4"/>
              </c:numCache>
            </c:numRef>
          </c:yVal>
          <c:smooth val="0"/>
          <c:extLst>
            <c:ext xmlns:c16="http://schemas.microsoft.com/office/drawing/2014/chart" uri="{C3380CC4-5D6E-409C-BE32-E72D297353CC}">
              <c16:uniqueId val="{00000004-1522-440F-9CF9-56701BBAD9E4}"/>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3'!$N$14:$N$16</c:f>
              <c:numCache>
                <c:formatCode>_(* #,##0.00_);_(* \(#,##0.00\);_(* "-"??_);_(@_)</c:formatCode>
                <c:ptCount val="3"/>
                <c:pt idx="0">
                  <c:v>1</c:v>
                </c:pt>
                <c:pt idx="1">
                  <c:v>10</c:v>
                </c:pt>
                <c:pt idx="2">
                  <c:v>30</c:v>
                </c:pt>
              </c:numCache>
            </c:numRef>
          </c:xVal>
          <c:yVal>
            <c:numRef>
              <c:f>'Forbrugsberegner 3'!$O$14:$O$16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0-8684-472B-BED0-870168342C5D}"/>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3'!$N$23:$N$25</c:f>
              <c:numCache>
                <c:formatCode>_(* #,##0.00_);_(* \(#,##0.00\);_(* "-"??_);_(@_)</c:formatCode>
                <c:ptCount val="3"/>
                <c:pt idx="0">
                  <c:v>1</c:v>
                </c:pt>
                <c:pt idx="1">
                  <c:v>10</c:v>
                </c:pt>
                <c:pt idx="2">
                  <c:v>30</c:v>
                </c:pt>
              </c:numCache>
            </c:numRef>
          </c:xVal>
          <c:yVal>
            <c:numRef>
              <c:f>'Forbrugsberegner 3'!$O$23:$O$25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19CC-45FB-AE41-D5E5AD978EA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3'!$N$32:$N$34</c:f>
              <c:numCache>
                <c:formatCode>_(* #,##0.00_);_(* \(#,##0.00\);_(* "-"??_);_(@_)</c:formatCode>
                <c:ptCount val="3"/>
                <c:pt idx="0">
                  <c:v>1</c:v>
                </c:pt>
                <c:pt idx="1">
                  <c:v>10</c:v>
                </c:pt>
                <c:pt idx="2">
                  <c:v>30</c:v>
                </c:pt>
              </c:numCache>
            </c:numRef>
          </c:xVal>
          <c:yVal>
            <c:numRef>
              <c:f>'Forbrugsberegner 3'!$O$32:$O$34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864A-417C-9556-6B33E45D04E3}"/>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3'!$N$41:$N$43</c:f>
              <c:numCache>
                <c:formatCode>_(* #,##0.00_);_(* \(#,##0.00\);_(* "-"??_);_(@_)</c:formatCode>
                <c:ptCount val="3"/>
                <c:pt idx="0">
                  <c:v>1</c:v>
                </c:pt>
                <c:pt idx="1">
                  <c:v>10</c:v>
                </c:pt>
                <c:pt idx="2">
                  <c:v>30</c:v>
                </c:pt>
              </c:numCache>
            </c:numRef>
          </c:xVal>
          <c:yVal>
            <c:numRef>
              <c:f>'Forbrugsberegner 3'!$O$41:$O$43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BA3C-4999-891D-37F23E940282}"/>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3'!$N$50:$N$52</c:f>
              <c:numCache>
                <c:formatCode>_(* #,##0.00_);_(* \(#,##0.00\);_(* "-"??_);_(@_)</c:formatCode>
                <c:ptCount val="3"/>
                <c:pt idx="0">
                  <c:v>1</c:v>
                </c:pt>
                <c:pt idx="1">
                  <c:v>10</c:v>
                </c:pt>
                <c:pt idx="2">
                  <c:v>30</c:v>
                </c:pt>
              </c:numCache>
            </c:numRef>
          </c:xVal>
          <c:yVal>
            <c:numRef>
              <c:f>'Forbrugsberegner 3'!$O$50:$O$52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7F09-499B-84DA-A7D9983D29F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4'!$AB$4:$AB$6</c:f>
              <c:numCache>
                <c:formatCode>_(* #,##0.00_);_(* \(#,##0.00\);_(* "-"??_);_(@_)</c:formatCode>
                <c:ptCount val="3"/>
                <c:pt idx="0">
                  <c:v>1000</c:v>
                </c:pt>
                <c:pt idx="1">
                  <c:v>100</c:v>
                </c:pt>
                <c:pt idx="2">
                  <c:v>10</c:v>
                </c:pt>
              </c:numCache>
            </c:numRef>
          </c:xVal>
          <c:yVal>
            <c:numRef>
              <c:f>'Forbrugsberegner 4'!$AC$4:$AC$6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4884-4CB6-B385-10C4BE01AEFC}"/>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'Forbrugsberegner 4'!$N$4:$N$8</c:f>
              <c:strCache>
                <c:ptCount val="5"/>
                <c:pt idx="0">
                  <c:v>Træpiller</c:v>
                </c:pt>
                <c:pt idx="1">
                  <c:v>Brænde</c:v>
                </c:pt>
                <c:pt idx="2">
                  <c:v>Flis</c:v>
                </c:pt>
                <c:pt idx="3">
                  <c:v>Halm</c:v>
                </c:pt>
                <c:pt idx="4">
                  <c:v>Olie</c:v>
                </c:pt>
              </c:strCache>
            </c:strRef>
          </c:cat>
          <c:val>
            <c:numRef>
              <c:f>'Forbrugsberegner 4'!$O$4:$O$8</c:f>
              <c:numCache>
                <c:formatCode>_(* #,##0.00_);_(* \(#,##0.00\);_(* "-"??_);_(@_)</c:formatCode>
                <c:ptCount val="5"/>
                <c:pt idx="0">
                  <c:v>0.51843511609559978</c:v>
                </c:pt>
                <c:pt idx="1">
                  <c:v>0.47517343190976091</c:v>
                </c:pt>
                <c:pt idx="2">
                  <c:v>0.46308576874692875</c:v>
                </c:pt>
                <c:pt idx="3">
                  <c:v>0.3634870740495868</c:v>
                </c:pt>
                <c:pt idx="4">
                  <c:v>0.49803511609559975</c:v>
                </c:pt>
              </c:numCache>
            </c:numRef>
          </c:val>
          <c:smooth val="0"/>
          <c:extLst>
            <c:ext xmlns:c16="http://schemas.microsoft.com/office/drawing/2014/chart" uri="{C3380CC4-5D6E-409C-BE32-E72D297353CC}">
              <c16:uniqueId val="{00000000-EF60-4D9C-9232-75CFC168E811}"/>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'Forbrugsberegner 4'!$H$12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'Forbrugsberegner 4'!$G$13:$G$15</c:f>
              <c:numCache>
                <c:formatCode>_(* #,##0.00_);_(* \(#,##0.00\);_(* "-"??_);_(@_)</c:formatCode>
                <c:ptCount val="3"/>
                <c:pt idx="0">
                  <c:v>1</c:v>
                </c:pt>
                <c:pt idx="1">
                  <c:v>10</c:v>
                </c:pt>
                <c:pt idx="2">
                  <c:v>30</c:v>
                </c:pt>
              </c:numCache>
            </c:numRef>
          </c:xVal>
          <c:yVal>
            <c:numRef>
              <c:f>'Forbrugsberegner 4'!$H$13:$H$15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0-38E4-4ADF-BFE7-13E6024F6146}"/>
            </c:ext>
          </c:extLst>
        </c:ser>
        <c:ser>
          <c:idx val="1"/>
          <c:order val="1"/>
          <c:tx>
            <c:strRef>
              <c:f>'Forbrugsberegner 4'!$I$12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'Forbrugsberegner 4'!$G$13:$G$15</c:f>
              <c:numCache>
                <c:formatCode>_(* #,##0.00_);_(* \(#,##0.00\);_(* "-"??_);_(@_)</c:formatCode>
                <c:ptCount val="3"/>
                <c:pt idx="0">
                  <c:v>1</c:v>
                </c:pt>
                <c:pt idx="1">
                  <c:v>10</c:v>
                </c:pt>
                <c:pt idx="2">
                  <c:v>30</c:v>
                </c:pt>
              </c:numCache>
            </c:numRef>
          </c:xVal>
          <c:yVal>
            <c:numRef>
              <c:f>'Forbrugsberegner 4'!$I$13:$I$15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1-38E4-4ADF-BFE7-13E6024F6146}"/>
            </c:ext>
          </c:extLst>
        </c:ser>
        <c:ser>
          <c:idx val="2"/>
          <c:order val="2"/>
          <c:tx>
            <c:strRef>
              <c:f>'Forbrugsberegner 4'!$J$12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'Forbrugsberegner 4'!$G$13:$G$15</c:f>
              <c:numCache>
                <c:formatCode>_(* #,##0.00_);_(* \(#,##0.00\);_(* "-"??_);_(@_)</c:formatCode>
                <c:ptCount val="3"/>
                <c:pt idx="0">
                  <c:v>1</c:v>
                </c:pt>
                <c:pt idx="1">
                  <c:v>10</c:v>
                </c:pt>
                <c:pt idx="2">
                  <c:v>30</c:v>
                </c:pt>
              </c:numCache>
            </c:numRef>
          </c:xVal>
          <c:yVal>
            <c:numRef>
              <c:f>'Forbrugsberegner 4'!$J$13:$J$15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2-38E4-4ADF-BFE7-13E6024F6146}"/>
            </c:ext>
          </c:extLst>
        </c:ser>
        <c:ser>
          <c:idx val="3"/>
          <c:order val="3"/>
          <c:tx>
            <c:strRef>
              <c:f>'Forbrugsberegner 4'!$K$12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'Forbrugsberegner 4'!$G$13:$G$15</c:f>
              <c:numCache>
                <c:formatCode>_(* #,##0.00_);_(* \(#,##0.00\);_(* "-"??_);_(@_)</c:formatCode>
                <c:ptCount val="3"/>
                <c:pt idx="0">
                  <c:v>1</c:v>
                </c:pt>
                <c:pt idx="1">
                  <c:v>10</c:v>
                </c:pt>
                <c:pt idx="2">
                  <c:v>30</c:v>
                </c:pt>
              </c:numCache>
            </c:numRef>
          </c:xVal>
          <c:yVal>
            <c:numRef>
              <c:f>'Forbrugsberegner 4'!$K$13:$K$15</c:f>
              <c:numCache>
                <c:formatCode>_(* #,##0.00_);_(* \(#,##0.00\);_(* "-"??_);_(@_)</c:formatCode>
                <c:ptCount val="3"/>
                <c:pt idx="0">
                  <c:v>#N/A</c:v>
                </c:pt>
                <c:pt idx="1">
                  <c:v>#N/A</c:v>
                </c:pt>
                <c:pt idx="2">
                  <c:v>#N/A</c:v>
                </c:pt>
              </c:numCache>
            </c:numRef>
          </c:yVal>
          <c:smooth val="0"/>
          <c:extLst>
            <c:ext xmlns:c16="http://schemas.microsoft.com/office/drawing/2014/chart" uri="{C3380CC4-5D6E-409C-BE32-E72D297353CC}">
              <c16:uniqueId val="{00000003-38E4-4ADF-BFE7-13E6024F6146}"/>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'Forbrugsberegner 4'!$D$5</c:f>
              <c:numCache>
                <c:formatCode>_(* #,##0.00_);_(* \(#,##0.00\);_(* "-"??_);_(@_)</c:formatCode>
                <c:ptCount val="1"/>
                <c:pt idx="0">
                  <c:v>2023</c:v>
                </c:pt>
              </c:numCache>
            </c:numRef>
          </c:xVal>
          <c:yVal>
            <c:numRef>
              <c:f>'Forbrugsberegner 4'!$F$8</c:f>
              <c:numCache>
                <c:formatCode>_(* #,##0.00_);_(* \(#,##0.00\);_(* "-"??_);_(@_)</c:formatCode>
                <c:ptCount val="1"/>
              </c:numCache>
            </c:numRef>
          </c:yVal>
          <c:smooth val="0"/>
          <c:extLst>
            <c:ext xmlns:c16="http://schemas.microsoft.com/office/drawing/2014/chart" uri="{C3380CC4-5D6E-409C-BE32-E72D297353CC}">
              <c16:uniqueId val="{00000004-38E4-4ADF-BFE7-13E6024F6146}"/>
            </c:ext>
          </c:extLst>
        </c:ser>
        <c:ser>
          <c:idx val="5"/>
          <c:order val="5"/>
          <c:tx>
            <c:strRef>
              <c:f>'Forbrugsberegner 4'!$C$25</c:f>
              <c:strCache>
                <c:ptCount val="1"/>
              </c:strCache>
            </c:strRef>
          </c:tx>
          <c:spPr>
            <a:ln w="25400" cap="rnd">
              <a:noFill/>
              <a:round/>
            </a:ln>
            <a:effectLst/>
          </c:spPr>
          <c:marker>
            <c:symbol val="none"/>
          </c:marker>
          <c:xVal>
            <c:numRef>
              <c:f>'Forbrugsberegner 4'!$C$26:$C$29</c:f>
              <c:numCache>
                <c:formatCode>_(* #,##0.00_);_(* \(#,##0.00\);_(* "-"??_);_(@_)</c:formatCode>
                <c:ptCount val="4"/>
              </c:numCache>
            </c:numRef>
          </c:xVal>
          <c:yVal>
            <c:numRef>
              <c:f>'Forbrugsberegner 4'!$D$26:$D$29</c:f>
              <c:numCache>
                <c:formatCode>_(* #,##0.00_);_(* \(#,##0.00\);_(* "-"??_);_(@_)</c:formatCode>
                <c:ptCount val="4"/>
              </c:numCache>
            </c:numRef>
          </c:yVal>
          <c:smooth val="0"/>
          <c:extLst>
            <c:ext xmlns:c16="http://schemas.microsoft.com/office/drawing/2014/chart" uri="{C3380CC4-5D6E-409C-BE32-E72D297353CC}">
              <c16:uniqueId val="{00000005-38E4-4ADF-BFE7-13E6024F6146}"/>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4'!$N$14:$N$16</c:f>
              <c:numCache>
                <c:formatCode>_(* #,##0.00_);_(* \(#,##0.00\);_(* "-"??_);_(@_)</c:formatCode>
                <c:ptCount val="3"/>
                <c:pt idx="0">
                  <c:v>1</c:v>
                </c:pt>
                <c:pt idx="1">
                  <c:v>10</c:v>
                </c:pt>
                <c:pt idx="2">
                  <c:v>30</c:v>
                </c:pt>
              </c:numCache>
            </c:numRef>
          </c:xVal>
          <c:yVal>
            <c:numRef>
              <c:f>'Forbrugsberegner 4'!$O$14:$O$16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0-34AA-40D8-84A5-1E58B65BE55B}"/>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4'!$N$23:$N$25</c:f>
              <c:numCache>
                <c:formatCode>_(* #,##0.00_);_(* \(#,##0.00\);_(* "-"??_);_(@_)</c:formatCode>
                <c:ptCount val="3"/>
                <c:pt idx="0">
                  <c:v>1</c:v>
                </c:pt>
                <c:pt idx="1">
                  <c:v>10</c:v>
                </c:pt>
                <c:pt idx="2">
                  <c:v>30</c:v>
                </c:pt>
              </c:numCache>
            </c:numRef>
          </c:xVal>
          <c:yVal>
            <c:numRef>
              <c:f>'Forbrugsberegner 4'!$O$23:$O$25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5505-4E11-9EF1-3B5967EDF91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1'!$N$14:$N$16</c:f>
              <c:numCache>
                <c:formatCode>_(* #,##0.00_);_(* \(#,##0.00\);_(* "-"??_);_(@_)</c:formatCode>
                <c:ptCount val="3"/>
                <c:pt idx="0">
                  <c:v>1</c:v>
                </c:pt>
                <c:pt idx="1">
                  <c:v>10</c:v>
                </c:pt>
                <c:pt idx="2">
                  <c:v>30</c:v>
                </c:pt>
              </c:numCache>
            </c:numRef>
          </c:xVal>
          <c:yVal>
            <c:numRef>
              <c:f>'Forbrugsberegner 1'!$O$14:$O$16</c:f>
              <c:numCache>
                <c:formatCode>_(* #,##0.00_);_(* \(#,##0.00\);_(* "-"??_);_(@_)</c:formatCode>
                <c:ptCount val="3"/>
                <c:pt idx="0">
                  <c:v>0.99</c:v>
                </c:pt>
                <c:pt idx="1">
                  <c:v>0.85</c:v>
                </c:pt>
                <c:pt idx="2">
                  <c:v>0.78</c:v>
                </c:pt>
              </c:numCache>
            </c:numRef>
          </c:yVal>
          <c:smooth val="0"/>
          <c:extLst>
            <c:ext xmlns:c16="http://schemas.microsoft.com/office/drawing/2014/chart" uri="{C3380CC4-5D6E-409C-BE32-E72D297353CC}">
              <c16:uniqueId val="{00000001-3467-470D-BBDD-2A040CBD4A45}"/>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4'!$N$32:$N$34</c:f>
              <c:numCache>
                <c:formatCode>_(* #,##0.00_);_(* \(#,##0.00\);_(* "-"??_);_(@_)</c:formatCode>
                <c:ptCount val="3"/>
                <c:pt idx="0">
                  <c:v>1</c:v>
                </c:pt>
                <c:pt idx="1">
                  <c:v>10</c:v>
                </c:pt>
                <c:pt idx="2">
                  <c:v>30</c:v>
                </c:pt>
              </c:numCache>
            </c:numRef>
          </c:xVal>
          <c:yVal>
            <c:numRef>
              <c:f>'Forbrugsberegner 4'!$O$32:$O$34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1C53-43C5-A695-75C407C8E3FB}"/>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4'!$N$41:$N$43</c:f>
              <c:numCache>
                <c:formatCode>_(* #,##0.00_);_(* \(#,##0.00\);_(* "-"??_);_(@_)</c:formatCode>
                <c:ptCount val="3"/>
                <c:pt idx="0">
                  <c:v>1</c:v>
                </c:pt>
                <c:pt idx="1">
                  <c:v>10</c:v>
                </c:pt>
                <c:pt idx="2">
                  <c:v>30</c:v>
                </c:pt>
              </c:numCache>
            </c:numRef>
          </c:xVal>
          <c:yVal>
            <c:numRef>
              <c:f>'Forbrugsberegner 4'!$O$41:$O$43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3DB6-40C8-AF86-BC2890F687CF}"/>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4'!$N$50:$N$52</c:f>
              <c:numCache>
                <c:formatCode>_(* #,##0.00_);_(* \(#,##0.00\);_(* "-"??_);_(@_)</c:formatCode>
                <c:ptCount val="3"/>
                <c:pt idx="0">
                  <c:v>1</c:v>
                </c:pt>
                <c:pt idx="1">
                  <c:v>10</c:v>
                </c:pt>
                <c:pt idx="2">
                  <c:v>30</c:v>
                </c:pt>
              </c:numCache>
            </c:numRef>
          </c:xVal>
          <c:yVal>
            <c:numRef>
              <c:f>'Forbrugsberegner 4'!$O$50:$O$52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A72E-4D22-9A4A-C64892A520C8}"/>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1'!$N$23:$N$25</c:f>
              <c:numCache>
                <c:formatCode>_(* #,##0.00_);_(* \(#,##0.00\);_(* "-"??_);_(@_)</c:formatCode>
                <c:ptCount val="3"/>
                <c:pt idx="0">
                  <c:v>1</c:v>
                </c:pt>
                <c:pt idx="1">
                  <c:v>10</c:v>
                </c:pt>
                <c:pt idx="2">
                  <c:v>30</c:v>
                </c:pt>
              </c:numCache>
            </c:numRef>
          </c:xVal>
          <c:yVal>
            <c:numRef>
              <c:f>'Forbrugsberegner 1'!$O$23:$O$25</c:f>
              <c:numCache>
                <c:formatCode>_(* #,##0.00_);_(* \(#,##0.00\);_(* "-"??_);_(@_)</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1-C111-4055-BA7F-11E822B45CC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1'!$N$32:$N$34</c:f>
              <c:numCache>
                <c:formatCode>_(* #,##0.00_);_(* \(#,##0.00\);_(* "-"??_);_(@_)</c:formatCode>
                <c:ptCount val="3"/>
                <c:pt idx="0">
                  <c:v>1</c:v>
                </c:pt>
                <c:pt idx="1">
                  <c:v>10</c:v>
                </c:pt>
                <c:pt idx="2">
                  <c:v>30</c:v>
                </c:pt>
              </c:numCache>
            </c:numRef>
          </c:xVal>
          <c:yVal>
            <c:numRef>
              <c:f>'Forbrugsberegner 1'!$O$32:$O$34</c:f>
              <c:numCache>
                <c:formatCode>_(* #,##0.00_);_(* \(#,##0.00\);_(* "-"??_);_(@_)</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1-19F4-4856-AC6D-ED1CF4E2E4BF}"/>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1'!$N$41:$N$43</c:f>
              <c:numCache>
                <c:formatCode>_(* #,##0.00_);_(* \(#,##0.00\);_(* "-"??_);_(@_)</c:formatCode>
                <c:ptCount val="3"/>
                <c:pt idx="0">
                  <c:v>1</c:v>
                </c:pt>
                <c:pt idx="1">
                  <c:v>10</c:v>
                </c:pt>
                <c:pt idx="2">
                  <c:v>30</c:v>
                </c:pt>
              </c:numCache>
            </c:numRef>
          </c:xVal>
          <c:yVal>
            <c:numRef>
              <c:f>'Forbrugsberegner 1'!$O$41:$O$43</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1-0CD7-41AA-BA02-C3D04D24D5E7}"/>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1'!$N$50:$N$52</c:f>
              <c:numCache>
                <c:formatCode>_(* #,##0.00_);_(* \(#,##0.00\);_(* "-"??_);_(@_)</c:formatCode>
                <c:ptCount val="3"/>
                <c:pt idx="0">
                  <c:v>1</c:v>
                </c:pt>
                <c:pt idx="1">
                  <c:v>10</c:v>
                </c:pt>
                <c:pt idx="2">
                  <c:v>30</c:v>
                </c:pt>
              </c:numCache>
            </c:numRef>
          </c:xVal>
          <c:yVal>
            <c:numRef>
              <c:f>'Forbrugsberegner 1'!$O$50:$O$52</c:f>
              <c:numCache>
                <c:formatCode>_(* #,##0.00_);_(* \(#,##0.00\);_(* "-"??_);_(@_)</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187A-4896-B7E9-D6CAB275919D}"/>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'Forbrugsberegner 2'!$AB$4:$AB$6</c:f>
              <c:numCache>
                <c:formatCode>_(* #,##0.00_);_(* \(#,##0.00\);_(* "-"??_);_(@_)</c:formatCode>
                <c:ptCount val="3"/>
                <c:pt idx="0">
                  <c:v>1000</c:v>
                </c:pt>
                <c:pt idx="1">
                  <c:v>100</c:v>
                </c:pt>
                <c:pt idx="2">
                  <c:v>10</c:v>
                </c:pt>
              </c:numCache>
            </c:numRef>
          </c:xVal>
          <c:yVal>
            <c:numRef>
              <c:f>'Forbrugsberegner 2'!$AC$4:$AC$6</c:f>
              <c:numCache>
                <c:formatCode>_(* #,##0.00_);_(* \(#,##0.00\);_(* "-"??_);_(@_)</c:formatCode>
                <c:ptCount val="3"/>
                <c:pt idx="0">
                  <c:v>0.96</c:v>
                </c:pt>
                <c:pt idx="1">
                  <c:v>0.95</c:v>
                </c:pt>
                <c:pt idx="2">
                  <c:v>0.94</c:v>
                </c:pt>
              </c:numCache>
            </c:numRef>
          </c:yVal>
          <c:smooth val="0"/>
          <c:extLst>
            <c:ext xmlns:c16="http://schemas.microsoft.com/office/drawing/2014/chart" uri="{C3380CC4-5D6E-409C-BE32-E72D297353CC}">
              <c16:uniqueId val="{00000000-31C3-4600-ADB0-DA91709F2CA6}"/>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14</xdr:col>
      <xdr:colOff>649</xdr:colOff>
      <xdr:row>0</xdr:row>
      <xdr:rowOff>80010</xdr:rowOff>
    </xdr:from>
    <xdr:to>
      <xdr:col>15</xdr:col>
      <xdr:colOff>629240</xdr:colOff>
      <xdr:row>2</xdr:row>
      <xdr:rowOff>379031</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98829" y="80010"/>
          <a:ext cx="1146751" cy="55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526224</xdr:colOff>
      <xdr:row>14</xdr:row>
      <xdr:rowOff>114300</xdr:rowOff>
    </xdr:from>
    <xdr:to>
      <xdr:col>9</xdr:col>
      <xdr:colOff>139756</xdr:colOff>
      <xdr:row>18</xdr:row>
      <xdr:rowOff>139976</xdr:rowOff>
    </xdr:to>
    <xdr:pic>
      <xdr:nvPicPr>
        <xdr:cNvPr id="3"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524" y="2413000"/>
          <a:ext cx="893057" cy="686076"/>
        </a:xfrm>
        <a:prstGeom prst="rect">
          <a:avLst/>
        </a:prstGeom>
      </xdr:spPr>
    </xdr:pic>
    <xdr:clientData/>
  </xdr:twoCellAnchor>
  <xdr:twoCellAnchor editAs="oneCell">
    <xdr:from>
      <xdr:col>3</xdr:col>
      <xdr:colOff>797753</xdr:colOff>
      <xdr:row>14</xdr:row>
      <xdr:rowOff>114301</xdr:rowOff>
    </xdr:from>
    <xdr:to>
      <xdr:col>4</xdr:col>
      <xdr:colOff>818484</xdr:colOff>
      <xdr:row>18</xdr:row>
      <xdr:rowOff>139978</xdr:rowOff>
    </xdr:to>
    <xdr:pic>
      <xdr:nvPicPr>
        <xdr:cNvPr id="4"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0603" y="2413001"/>
          <a:ext cx="820831" cy="6860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4" name="Diagram 4">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5"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6"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7"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8"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9"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4" name="Diagram 4">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5"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6"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7"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8"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9"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401410</xdr:colOff>
      <xdr:row>11</xdr:row>
      <xdr:rowOff>111579</xdr:rowOff>
    </xdr:from>
    <xdr:to>
      <xdr:col>10</xdr:col>
      <xdr:colOff>251731</xdr:colOff>
      <xdr:row>25</xdr:row>
      <xdr:rowOff>174172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128868</xdr:colOff>
      <xdr:row>18</xdr:row>
      <xdr:rowOff>152400</xdr:rowOff>
    </xdr:from>
    <xdr:to>
      <xdr:col>23</xdr:col>
      <xdr:colOff>465044</xdr:colOff>
      <xdr:row>33</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4" name="Diagram 4">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5"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6"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7"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8"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9"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4" name="Diagram 4">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5"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6"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7"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8"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9"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20651</xdr:colOff>
      <xdr:row>1</xdr:row>
      <xdr:rowOff>129540</xdr:rowOff>
    </xdr:from>
    <xdr:to>
      <xdr:col>14</xdr:col>
      <xdr:colOff>418420</xdr:colOff>
      <xdr:row>3</xdr:row>
      <xdr:rowOff>107569</xdr:rowOff>
    </xdr:to>
    <xdr:pic>
      <xdr:nvPicPr>
        <xdr:cNvPr id="2" name="Picture 2" descr="Energistyrelsen søger en Kontorchef til energiadministrativt kraftcenter i  Esbjerg - Altinget - Alt om politik">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7601" y="281940"/>
          <a:ext cx="1274069" cy="55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14</xdr:col>
      <xdr:colOff>83516</xdr:colOff>
      <xdr:row>0</xdr:row>
      <xdr:rowOff>0</xdr:rowOff>
    </xdr:from>
    <xdr:ext cx="1155324" cy="593344"/>
    <xdr:pic>
      <xdr:nvPicPr>
        <xdr:cNvPr id="2" name="Picture 1" descr="Energistyrelsen søger en Kontorchef til energiadministrativt kraftcenter i  Esbjerg - Altinget - Alt om politik">
          <a:extLst>
            <a:ext uri="{FF2B5EF4-FFF2-40B4-BE49-F238E27FC236}">
              <a16:creationId xmlns:a16="http://schemas.microsoft.com/office/drawing/2014/main" id="{38308480-2C0F-4E0A-B08D-00D83986F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8316" y="0"/>
          <a:ext cx="1155324" cy="593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80746</xdr:colOff>
      <xdr:row>22</xdr:row>
      <xdr:rowOff>25602</xdr:rowOff>
    </xdr:from>
    <xdr:to>
      <xdr:col>17</xdr:col>
      <xdr:colOff>38100</xdr:colOff>
      <xdr:row>43</xdr:row>
      <xdr:rowOff>163286</xdr:rowOff>
    </xdr:to>
    <xdr:sp macro="" textlink="">
      <xdr:nvSpPr>
        <xdr:cNvPr id="3" name="TextBox 2">
          <a:extLst>
            <a:ext uri="{FF2B5EF4-FFF2-40B4-BE49-F238E27FC236}">
              <a16:creationId xmlns:a16="http://schemas.microsoft.com/office/drawing/2014/main" id="{F92CCB9D-08D2-41A2-BCA8-92A0CB08EBBD}"/>
            </a:ext>
          </a:extLst>
        </xdr:cNvPr>
        <xdr:cNvSpPr txBox="1"/>
      </xdr:nvSpPr>
      <xdr:spPr>
        <a:xfrm>
          <a:off x="12041425" y="5795031"/>
          <a:ext cx="5454639" cy="6737148"/>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i="1">
              <a:solidFill>
                <a:schemeClr val="dk1"/>
              </a:solidFill>
              <a:effectLst/>
              <a:latin typeface="+mn-lt"/>
              <a:ea typeface="+mn-ea"/>
              <a:cs typeface="+mn-cs"/>
            </a:rPr>
            <a:t>Dokumentationskrav ved ansøgning om tilskud: </a:t>
          </a:r>
          <a:endParaRPr lang="da-DK" sz="1100">
            <a:solidFill>
              <a:schemeClr val="dk1"/>
            </a:solidFill>
            <a:effectLst/>
            <a:latin typeface="+mn-lt"/>
            <a:ea typeface="+mn-ea"/>
            <a:cs typeface="+mn-cs"/>
          </a:endParaRPr>
        </a:p>
        <a:p>
          <a:r>
            <a:rPr lang="da-DK" sz="800">
              <a:solidFill>
                <a:schemeClr val="dk1"/>
              </a:solidFill>
              <a:effectLst/>
              <a:latin typeface="+mn-lt"/>
              <a:ea typeface="+mn-ea"/>
              <a:cs typeface="+mn-cs"/>
            </a:rPr>
            <a:t>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Effekten og alderen på kedel/ kalorifer dokumenteres, eksempelvis gennem et billede af mærkepladen. Såfremt alderen ikke kan dokumenteres skal 2 år fra ansøgningstidspunktet vælges.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a:effectLst/>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Energiforbruget skal opgøres med fakturaer eller en opgørelse over gasmåler. Opgørelsen skal dække over 12 sammenhængende måneder eller 3 sammenhængende år forud for ansøgning og må maksimalt være 1 år gammel på ansøgningstidspunktet.</a:t>
          </a:r>
          <a:endParaRPr lang="da-DK">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Budget over de forventede støtteberettigede omkostninger for projektet. Budgettet kan udfyldes i Energistyrelsens budgetskabelon, som findes på www.sparenergi.dk under hjælpeværktøjer. Støtteberettigede omkostninger er f.eks. nødvendige anlægsomkostninger og ekstern rådgivning. Bemærk, hvis brændselskedlen leverer både til beboelse og erhverv skal andelen til beboelse korrigeres for samlet investeringsomkostninger for den andel omhandlende beboelse. </a:t>
          </a:r>
          <a:endParaRPr lang="da-DK">
            <a:effectLst/>
          </a:endParaRPr>
        </a:p>
        <a:p>
          <a:endParaRPr lang="da-DK" sz="900">
            <a:effectLst/>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r>
            <a:rPr lang="da-DK" sz="1100" i="1">
              <a:solidFill>
                <a:schemeClr val="dk1"/>
              </a:solidFill>
              <a:effectLst/>
              <a:latin typeface="+mn-lt"/>
              <a:ea typeface="+mn-ea"/>
              <a:cs typeface="+mn-cs"/>
            </a:rPr>
            <a:t>Dokumentationskrav ved ansøgning om udbetaling:</a:t>
          </a:r>
          <a:endParaRPr lang="da-DK" sz="1100" b="0" i="0" u="none" strike="noStrike">
            <a:solidFill>
              <a:schemeClr val="dk1"/>
            </a:solidFill>
            <a:effectLst/>
            <a:latin typeface="+mn-lt"/>
            <a:ea typeface="+mn-ea"/>
            <a:cs typeface="+mn-cs"/>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Datablad for virkningsgrad for brændselskedlen /SCOP-værdi for varmepumpen. SCOP-værdi aflæses på datablad for varmepumpen, såfremt SCOP ved 35 grader vælges, skal det dokumenteres at systemet kører med en fremløbstemperatur på 35 grader. Dette kunne eksempelvis være billeder af gulvvarme.</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Dokumentation på at projektet er realisteret. Som dokumentation for realisering indsendes fakturaer for støtteberettiget omkostninger samt dokumentation på betaling af omkostninger ved en bankudskrift. Du kan blive bedt om at dokumentere, at projektet ikke er blevet påbegyndt inden du ansøgte fx ved at indsendelse af en ordrebekræftelse. Yderligere information omkring regnskabsbilag findes i kap. 4.2 i ”Vejledning til ansøgning om erhvervstilskud”.</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indent="-228600">
            <a:buFont typeface="+mj-lt"/>
            <a:buAutoNum type="arabicPeriod"/>
          </a:pPr>
          <a:endParaRPr lang="da-DK">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Yd</a:t>
          </a:r>
          <a:r>
            <a:rPr lang="da-DK" sz="1100" b="1" i="0">
              <a:solidFill>
                <a:schemeClr val="dk1"/>
              </a:solidFill>
              <a:effectLst/>
              <a:latin typeface="+mn-lt"/>
              <a:ea typeface="+mn-ea"/>
              <a:cs typeface="+mn-cs"/>
            </a:rPr>
            <a:t>erligere</a:t>
          </a:r>
          <a:r>
            <a:rPr lang="da-DK" sz="1100" b="1" i="0" baseline="0">
              <a:solidFill>
                <a:schemeClr val="dk1"/>
              </a:solidFill>
              <a:effectLst/>
              <a:latin typeface="+mn-lt"/>
              <a:ea typeface="+mn-ea"/>
              <a:cs typeface="+mn-cs"/>
            </a:rPr>
            <a:t> vejledning henvises til vejledning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Standardløsning for udskiftning af varmforsyning"</a:t>
          </a:r>
          <a:r>
            <a:rPr lang="da-DK" sz="1100" b="1" i="0">
              <a:solidFill>
                <a:schemeClr val="dk1"/>
              </a:solidFill>
              <a:effectLst/>
              <a:latin typeface="+mn-lt"/>
              <a:ea typeface="+mn-ea"/>
              <a:cs typeface="+mn-cs"/>
            </a:rPr>
            <a:t>:</a:t>
          </a:r>
          <a:r>
            <a:rPr lang="da-DK" sz="1100" b="1" i="1"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da-DK" sz="1100" b="1"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b="1" i="1" baseline="0">
              <a:solidFill>
                <a:schemeClr val="dk1"/>
              </a:solidFill>
              <a:effectLst/>
              <a:latin typeface="+mn-lt"/>
              <a:ea typeface="+mn-ea"/>
              <a:cs typeface="+mn-cs"/>
            </a:rPr>
            <a:t>Behov for hjælp til udfyldelse af ansøgningsskemaet, se kap. 4 i vejledningen. </a:t>
          </a:r>
        </a:p>
        <a:p>
          <a:pPr marL="0" marR="0" lvl="0" indent="0" defTabSz="914400" eaLnBrk="1" fontAlgn="auto" latinLnBrk="0" hangingPunct="1">
            <a:lnSpc>
              <a:spcPct val="100000"/>
            </a:lnSpc>
            <a:spcBef>
              <a:spcPts val="0"/>
            </a:spcBef>
            <a:spcAft>
              <a:spcPts val="0"/>
            </a:spcAft>
            <a:buClrTx/>
            <a:buSzTx/>
            <a:buFontTx/>
            <a:buNone/>
            <a:tabLst/>
            <a:defRPr/>
          </a:pPr>
          <a:endParaRPr lang="da-DK"/>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effectLst/>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15</xdr:col>
          <xdr:colOff>361950</xdr:colOff>
          <xdr:row>40</xdr:row>
          <xdr:rowOff>133350</xdr:rowOff>
        </xdr:from>
        <xdr:to>
          <xdr:col>17</xdr:col>
          <xdr:colOff>47625</xdr:colOff>
          <xdr:row>43</xdr:row>
          <xdr:rowOff>171450</xdr:rowOff>
        </xdr:to>
        <xdr:sp macro="" textlink="">
          <xdr:nvSpPr>
            <xdr:cNvPr id="3088" name="Object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14</xdr:col>
      <xdr:colOff>83516</xdr:colOff>
      <xdr:row>0</xdr:row>
      <xdr:rowOff>0</xdr:rowOff>
    </xdr:from>
    <xdr:ext cx="1155324" cy="593344"/>
    <xdr:pic>
      <xdr:nvPicPr>
        <xdr:cNvPr id="6" name="Picture 5" descr="Energistyrelsen søger en Kontorchef til energiadministrativt kraftcenter i  Esbjerg - Altinget - Alt om politik">
          <a:extLst>
            <a:ext uri="{FF2B5EF4-FFF2-40B4-BE49-F238E27FC236}">
              <a16:creationId xmlns:a16="http://schemas.microsoft.com/office/drawing/2014/main" id="{38308480-2C0F-4E0A-B08D-00D83986F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0066" y="0"/>
          <a:ext cx="1155324" cy="593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33617</xdr:colOff>
      <xdr:row>16</xdr:row>
      <xdr:rowOff>49304</xdr:rowOff>
    </xdr:from>
    <xdr:to>
      <xdr:col>17</xdr:col>
      <xdr:colOff>0</xdr:colOff>
      <xdr:row>53</xdr:row>
      <xdr:rowOff>28574</xdr:rowOff>
    </xdr:to>
    <xdr:sp macro="" textlink="">
      <xdr:nvSpPr>
        <xdr:cNvPr id="7" name="TextBox 6">
          <a:extLst>
            <a:ext uri="{FF2B5EF4-FFF2-40B4-BE49-F238E27FC236}">
              <a16:creationId xmlns:a16="http://schemas.microsoft.com/office/drawing/2014/main" id="{F92CCB9D-08D2-41A2-BCA8-92A0CB08EBBD}"/>
            </a:ext>
          </a:extLst>
        </xdr:cNvPr>
        <xdr:cNvSpPr txBox="1"/>
      </xdr:nvSpPr>
      <xdr:spPr>
        <a:xfrm>
          <a:off x="11997017" y="3316379"/>
          <a:ext cx="5290858" cy="7132545"/>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i="1">
              <a:solidFill>
                <a:schemeClr val="dk1"/>
              </a:solidFill>
              <a:effectLst/>
              <a:latin typeface="+mn-lt"/>
              <a:ea typeface="+mn-ea"/>
              <a:cs typeface="+mn-cs"/>
            </a:rPr>
            <a:t>Dokumentationskrav ved ansøgning om tilskud: </a:t>
          </a:r>
        </a:p>
        <a:p>
          <a:endParaRPr lang="da-DK">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Effekten og alderen på kedel/ kalorifer dokumenteres, eksempelvis gennem et billede af mærkepladen. Såfremt alderen ikke kan dokumenteres skal 2 år fra ansøgningstidspunktet vælges.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Dokumentation for, at brændselskedlen/ kaloriferen er i drift på virksomheden. Dette kunne eksempelvis være fakturaer for indkøbt brændsel.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Budget over de forventede støtteberettiget omkostninger for projektet. Budgettet kan udfyldes i Energistyrelsens budgetskabelon, som findes på </a:t>
          </a:r>
          <a:r>
            <a:rPr lang="da-DK" sz="1100" u="sng">
              <a:solidFill>
                <a:schemeClr val="dk1"/>
              </a:solidFill>
              <a:effectLst/>
              <a:latin typeface="+mn-lt"/>
              <a:ea typeface="+mn-ea"/>
              <a:cs typeface="+mn-cs"/>
              <a:hlinkClick xmlns:r="http://schemas.openxmlformats.org/officeDocument/2006/relationships" r:id=""/>
            </a:rPr>
            <a:t>Sparenergi</a:t>
          </a:r>
          <a:r>
            <a:rPr lang="da-DK" sz="1100">
              <a:solidFill>
                <a:schemeClr val="dk1"/>
              </a:solidFill>
              <a:effectLst/>
              <a:latin typeface="+mn-lt"/>
              <a:ea typeface="+mn-ea"/>
              <a:cs typeface="+mn-cs"/>
            </a:rPr>
            <a:t> under hjælpeværktøjer. Støtteberettiget omkostninger er eksempelvis nødvendige anlægsomkostninger og ekstern rådgivning. Bemærk, hvis brændselskedlen leverer varme til både beboelse og erhverv skal de investeringsomkostninger, der vedrører beboelsen fratrækkes i budgettet.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a:effectLst/>
          </a:endParaRPr>
        </a:p>
        <a:p>
          <a:r>
            <a:rPr lang="da-DK" sz="1100">
              <a:solidFill>
                <a:schemeClr val="dk1"/>
              </a:solidFill>
              <a:effectLst/>
              <a:latin typeface="+mn-lt"/>
              <a:ea typeface="+mn-ea"/>
              <a:cs typeface="+mn-cs"/>
            </a:rPr>
            <a:t> </a:t>
          </a:r>
        </a:p>
        <a:p>
          <a:pPr marL="228600" indent="-228600">
            <a:buFont typeface="+mj-lt"/>
            <a:buAutoNum type="arabicPeriod"/>
          </a:pPr>
          <a:endParaRPr lang="da-DK" sz="900" b="0" i="0" u="none" strike="noStrike">
            <a:solidFill>
              <a:schemeClr val="dk1"/>
            </a:solidFill>
            <a:effectLst/>
            <a:latin typeface="+mn-lt"/>
            <a:ea typeface="+mn-ea"/>
            <a:cs typeface="+mn-cs"/>
          </a:endParaRPr>
        </a:p>
        <a:p>
          <a:r>
            <a:rPr lang="da-DK" sz="1100" i="1">
              <a:solidFill>
                <a:schemeClr val="dk1"/>
              </a:solidFill>
              <a:effectLst/>
              <a:latin typeface="+mn-lt"/>
              <a:ea typeface="+mn-ea"/>
              <a:cs typeface="+mn-cs"/>
            </a:rPr>
            <a:t>Dokumentationskrav ved ansøgning om udbetaling:</a:t>
          </a:r>
          <a:endParaRPr lang="da-DK" sz="1100" b="0" i="0" u="none" strike="noStrike">
            <a:solidFill>
              <a:schemeClr val="dk1"/>
            </a:solidFill>
            <a:effectLst/>
            <a:latin typeface="+mn-lt"/>
            <a:ea typeface="+mn-ea"/>
            <a:cs typeface="+mn-cs"/>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Datablad for virkningsgrad for brændselskedlen /SCOP-værdi for varmepumpen. SCOP-værdi aflæses på datablad for varmepumpen, såfremt SCOP ved 35 grader vælges, skal det dokumenteres at systemet kører med en fremløbstemperatur på 35 grader. Dette kunne eksempelvis være billeder af gulvvarme.</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Dokumentation på at projektet er realisteret. Som dokumentation for realisering indsendes fakturaer for støtteberettiget omkostninger samt dokumentation på betaling af omkostninger ved en bankudskrift. Du kan blive bedt om at dokumentere, at projektet ikke er blevet påbegyndt inden du ansøgte fx ved at indsendelse af en ordrebekræftelse. Yderligere information omkring regnskabsbilag findes i kap. 4.2 i ”Vejledning til ansøgning om erhvervstilskud”.</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800">
            <a:effectLst/>
          </a:endParaRPr>
        </a:p>
        <a:p>
          <a:pPr eaLnBrk="1" fontAlgn="auto" latinLnBrk="0" hangingPunct="1"/>
          <a:r>
            <a:rPr lang="da-DK" sz="1100" b="1" i="0">
              <a:solidFill>
                <a:schemeClr val="dk1"/>
              </a:solidFill>
              <a:effectLst/>
              <a:latin typeface="+mn-lt"/>
              <a:ea typeface="+mn-ea"/>
              <a:cs typeface="+mn-cs"/>
            </a:rPr>
            <a:t>Yderligere</a:t>
          </a:r>
          <a:r>
            <a:rPr lang="da-DK" sz="1100" b="1" i="0" baseline="0">
              <a:solidFill>
                <a:schemeClr val="dk1"/>
              </a:solidFill>
              <a:effectLst/>
              <a:latin typeface="+mn-lt"/>
              <a:ea typeface="+mn-ea"/>
              <a:cs typeface="+mn-cs"/>
            </a:rPr>
            <a:t> vejledning henvises til vejledning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Standardløsning for udskiftning af varmforsyning"</a:t>
          </a:r>
          <a:r>
            <a:rPr lang="da-DK" sz="1100" b="1" i="0">
              <a:solidFill>
                <a:schemeClr val="dk1"/>
              </a:solidFill>
              <a:effectLst/>
              <a:latin typeface="+mn-lt"/>
              <a:ea typeface="+mn-ea"/>
              <a:cs typeface="+mn-cs"/>
            </a:rPr>
            <a:t>:</a:t>
          </a:r>
          <a:r>
            <a:rPr lang="da-DK" sz="1100" b="1" i="1" baseline="0">
              <a:solidFill>
                <a:schemeClr val="dk1"/>
              </a:solidFill>
              <a:effectLst/>
              <a:latin typeface="+mn-lt"/>
              <a:ea typeface="+mn-ea"/>
              <a:cs typeface="+mn-cs"/>
            </a:rPr>
            <a:t> </a:t>
          </a:r>
          <a:endParaRPr lang="da-DK" sz="800">
            <a:effectLst/>
          </a:endParaRPr>
        </a:p>
        <a:p>
          <a:pPr eaLnBrk="1" fontAlgn="auto" latinLnBrk="0" hangingPunct="1"/>
          <a:r>
            <a:rPr lang="da-DK" sz="1100" b="1" i="1" baseline="0">
              <a:solidFill>
                <a:schemeClr val="dk1"/>
              </a:solidFill>
              <a:effectLst/>
              <a:latin typeface="+mn-lt"/>
              <a:ea typeface="+mn-ea"/>
              <a:cs typeface="+mn-cs"/>
            </a:rPr>
            <a:t>Behov for hjælp til udfyldelse af ansøgningsskemaet, se kap. 4 i vejledningen. </a:t>
          </a:r>
          <a:endParaRPr lang="da-DK" sz="800">
            <a:effectLst/>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effectLst/>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15</xdr:col>
          <xdr:colOff>219075</xdr:colOff>
          <xdr:row>47</xdr:row>
          <xdr:rowOff>104775</xdr:rowOff>
        </xdr:from>
        <xdr:to>
          <xdr:col>17</xdr:col>
          <xdr:colOff>28575</xdr:colOff>
          <xdr:row>53</xdr:row>
          <xdr:rowOff>57150</xdr:rowOff>
        </xdr:to>
        <xdr:sp macro="" textlink="">
          <xdr:nvSpPr>
            <xdr:cNvPr id="9224" name="Object 8" hidden="1">
              <a:extLst>
                <a:ext uri="{63B3BB69-23CF-44E3-9099-C40C66FF867C}">
                  <a14:compatExt spid="_x0000_s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329933</xdr:colOff>
      <xdr:row>24</xdr:row>
      <xdr:rowOff>3545</xdr:rowOff>
    </xdr:from>
    <xdr:to>
      <xdr:col>18</xdr:col>
      <xdr:colOff>152399</xdr:colOff>
      <xdr:row>57</xdr:row>
      <xdr:rowOff>136071</xdr:rowOff>
    </xdr:to>
    <xdr:sp macro="" textlink="">
      <xdr:nvSpPr>
        <xdr:cNvPr id="2" name="TextBox 3">
          <a:extLst>
            <a:ext uri="{FF2B5EF4-FFF2-40B4-BE49-F238E27FC236}">
              <a16:creationId xmlns:a16="http://schemas.microsoft.com/office/drawing/2014/main" id="{00000000-0008-0000-0500-000004000000}"/>
            </a:ext>
          </a:extLst>
        </xdr:cNvPr>
        <xdr:cNvSpPr txBox="1"/>
      </xdr:nvSpPr>
      <xdr:spPr>
        <a:xfrm>
          <a:off x="7011040" y="4956545"/>
          <a:ext cx="5727966" cy="7058562"/>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Dokumentationskrav</a:t>
          </a:r>
          <a:r>
            <a:rPr lang="da-DK" sz="900" b="1" baseline="0">
              <a:effectLst/>
              <a:latin typeface="Verdana" panose="020B0604030504040204" pitchFamily="34" charset="0"/>
              <a:ea typeface="Verdana" panose="020B0604030504040204" pitchFamily="34" charset="0"/>
              <a:cs typeface="Times New Roman" panose="02020603050405020304" pitchFamily="18" charset="0"/>
            </a:rPr>
            <a:t> ved ansøgningen</a:t>
          </a:r>
          <a:r>
            <a:rPr lang="da-DK" sz="900" b="1">
              <a:effectLst/>
              <a:latin typeface="Verdana" panose="020B0604030504040204" pitchFamily="34" charset="0"/>
              <a:ea typeface="Verdana" panose="020B0604030504040204" pitchFamily="34" charset="0"/>
              <a:cs typeface="Times New Roman" panose="02020603050405020304" pitchFamily="18" charset="0"/>
            </a:rPr>
            <a:t>:</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Dokumentation på besætningsstørrelsen ved enten at indsende en årsrapport, der maksimalt er 12 måneder gammel på ansøgningsdatoen, eller et udklip fra CHR.dk på ansøgningstidspunktet. </a:t>
          </a:r>
          <a:endParaRPr lang="da-DK" sz="900">
            <a:solidFill>
              <a:schemeClr val="dk1"/>
            </a:solidFill>
            <a:effectLst/>
            <a:latin typeface="Verdana" panose="020B0604030504040204" pitchFamily="34" charset="0"/>
            <a:ea typeface="Verdana" panose="020B0604030504040204" pitchFamily="34" charset="0"/>
            <a:cs typeface="Times New Roman" panose="02020603050405020304" pitchFamily="18" charset="0"/>
          </a:endParaRP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Effekten og alderen på kedel dokumenteres, eksempelvis gennem et billede af mærkepladen. Såfremt alderen ikke kan dokumenteres skal 2 år fra ansøgningstidspunktet vælges. </a:t>
          </a:r>
          <a:endParaRPr lang="da-DK" sz="1100">
            <a:effectLst/>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Hvis der i grisestalden udtørres med olievarmekanoner og de udskiftes, skal de dokumenteres via billeder og fakturaer. </a:t>
          </a:r>
        </a:p>
        <a:p>
          <a:pPr marL="342900" lvl="0" indent="-342900">
            <a:lnSpc>
              <a:spcPct val="107000"/>
            </a:lnSpc>
            <a:spcAft>
              <a:spcPts val="800"/>
            </a:spcAft>
            <a:buFont typeface="Symbol" panose="05050102010706020507" pitchFamily="18" charset="2"/>
            <a:buChar char=""/>
          </a:pPr>
          <a:r>
            <a:rPr lang="da-DK" sz="1100">
              <a:solidFill>
                <a:schemeClr val="dk1"/>
              </a:solidFill>
              <a:effectLst/>
              <a:latin typeface="+mn-lt"/>
              <a:ea typeface="+mn-ea"/>
              <a:cs typeface="+mn-cs"/>
            </a:rPr>
            <a:t>Budget over de forventede støtteberettiget omkostninger for projektet. Budgettet kan udfyldes i Energistyrelsens budgetskabelon, som findes på </a:t>
          </a:r>
          <a:r>
            <a:rPr lang="da-DK" sz="1100" u="sng">
              <a:solidFill>
                <a:schemeClr val="dk1"/>
              </a:solidFill>
              <a:effectLst/>
              <a:latin typeface="+mn-lt"/>
              <a:ea typeface="+mn-ea"/>
              <a:cs typeface="+mn-cs"/>
              <a:hlinkClick xmlns:r="http://schemas.openxmlformats.org/officeDocument/2006/relationships" r:id=""/>
            </a:rPr>
            <a:t>Sparenergi</a:t>
          </a:r>
          <a:r>
            <a:rPr lang="da-DK" sz="1100">
              <a:solidFill>
                <a:schemeClr val="dk1"/>
              </a:solidFill>
              <a:effectLst/>
              <a:latin typeface="+mn-lt"/>
              <a:ea typeface="+mn-ea"/>
              <a:cs typeface="+mn-cs"/>
            </a:rPr>
            <a:t> under hjælpeværktøjer. Støtteberettiget omkostninger er eksempelvis nødvendige anlægsomkostninger og ekstern rådgivning. Bemærk, hvis brændselskedlen leverer varme til både beboelse og erhverv skal de investeringsomkostninger, der vedrører beboelsen fratrækkes i budgettet.  </a:t>
          </a:r>
        </a:p>
        <a:p>
          <a:r>
            <a:rPr lang="da-DK" sz="900" b="1">
              <a:effectLst/>
              <a:latin typeface="Verdana" panose="020B0604030504040204" pitchFamily="34" charset="0"/>
              <a:ea typeface="Verdana" panose="020B0604030504040204" pitchFamily="34" charset="0"/>
            </a:rPr>
            <a:t>Dokumentationskrav</a:t>
          </a:r>
          <a:r>
            <a:rPr lang="da-DK" sz="900" b="1" baseline="0">
              <a:effectLst/>
              <a:latin typeface="Verdana" panose="020B0604030504040204" pitchFamily="34" charset="0"/>
              <a:ea typeface="Verdana" panose="020B0604030504040204" pitchFamily="34" charset="0"/>
            </a:rPr>
            <a:t> ved udbetaling</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1100">
              <a:solidFill>
                <a:schemeClr val="dk1"/>
              </a:solidFill>
              <a:effectLst/>
              <a:latin typeface="+mn-lt"/>
              <a:ea typeface="+mn-ea"/>
              <a:cs typeface="+mn-cs"/>
            </a:rPr>
            <a:t>Datablad for virkningsgrad for brændselskedlen /SCOP-værdi for varmepumpen. SCOP-værdi aflæses på datablad for varmepumpen, såfremt SCOP ved 35 grader vælges, skal det dokumenteres at systemet kører med en fremløbstemperatur på 35 grader. Dette kunne eksempelvis være billeder af gulvvarme</a:t>
          </a: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Dokumentation på at projektet er realisteret. Som dokumentation for realisering indsendes fakturaer for støtteberettiget omkostninger samt dokumentation på betaling af omkostninger ved en bankudskrift. Du kan blive bedt om at dokumentere, at projektet ikke er blevet påbegyndt inden du ansøgte fx ved at indsendelse af en ordrebekræftelse. Yderligere information omkring regnskabsbilag findes i kap. 4.2 i ”Vejledning til ansøgning om erhvervstilskud”.</a:t>
          </a:r>
        </a:p>
        <a:p>
          <a:pPr marL="342900" lvl="0" indent="-342900">
            <a:lnSpc>
              <a:spcPct val="107000"/>
            </a:lnSpc>
            <a:spcAft>
              <a:spcPts val="800"/>
            </a:spcAft>
            <a:buFont typeface="Symbol" panose="05050102010706020507" pitchFamily="18" charset="2"/>
            <a:buChar char=""/>
          </a:pPr>
          <a:endParaRPr lang="da-DK" sz="1100">
            <a:effectLst/>
          </a:endParaRPr>
        </a:p>
        <a:p>
          <a:pPr eaLnBrk="1" fontAlgn="auto" latinLnBrk="0" hangingPunct="1"/>
          <a:r>
            <a:rPr lang="da-DK" sz="1100" b="1" i="0">
              <a:solidFill>
                <a:schemeClr val="dk1"/>
              </a:solidFill>
              <a:effectLst/>
              <a:latin typeface="+mn-lt"/>
              <a:ea typeface="+mn-ea"/>
              <a:cs typeface="+mn-cs"/>
            </a:rPr>
            <a:t>Yderligere</a:t>
          </a:r>
          <a:r>
            <a:rPr lang="da-DK" sz="1100" b="1" i="0" baseline="0">
              <a:solidFill>
                <a:schemeClr val="dk1"/>
              </a:solidFill>
              <a:effectLst/>
              <a:latin typeface="+mn-lt"/>
              <a:ea typeface="+mn-ea"/>
              <a:cs typeface="+mn-cs"/>
            </a:rPr>
            <a:t> vejledning henvises til vejledning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Standardløsning for udskiftning af varmforsyning"</a:t>
          </a:r>
          <a:r>
            <a:rPr lang="da-DK" sz="1100" b="1" i="0">
              <a:solidFill>
                <a:schemeClr val="dk1"/>
              </a:solidFill>
              <a:effectLst/>
              <a:latin typeface="+mn-lt"/>
              <a:ea typeface="+mn-ea"/>
              <a:cs typeface="+mn-cs"/>
            </a:rPr>
            <a:t>:</a:t>
          </a:r>
          <a:r>
            <a:rPr lang="da-DK" sz="1100" b="1" i="1" baseline="0">
              <a:solidFill>
                <a:schemeClr val="dk1"/>
              </a:solidFill>
              <a:effectLst/>
              <a:latin typeface="+mn-lt"/>
              <a:ea typeface="+mn-ea"/>
              <a:cs typeface="+mn-cs"/>
            </a:rPr>
            <a:t> </a:t>
          </a:r>
          <a:endParaRPr lang="da-DK">
            <a:effectLst/>
          </a:endParaRPr>
        </a:p>
        <a:p>
          <a:pPr eaLnBrk="1" fontAlgn="auto" latinLnBrk="0" hangingPunct="1"/>
          <a:r>
            <a:rPr lang="da-DK" sz="1100" b="1" i="1" baseline="0">
              <a:solidFill>
                <a:schemeClr val="dk1"/>
              </a:solidFill>
              <a:effectLst/>
              <a:latin typeface="+mn-lt"/>
              <a:ea typeface="+mn-ea"/>
              <a:cs typeface="+mn-cs"/>
            </a:rPr>
            <a:t>Behov for hjælp til udfyldelse af ansøgningsskemaet, se kap. 4 i vejledningen. </a:t>
          </a:r>
          <a:endParaRPr lang="da-DK" sz="1100">
            <a:solidFill>
              <a:schemeClr val="dk1"/>
            </a:solidFill>
            <a:effectLst/>
            <a:latin typeface="+mn-lt"/>
            <a:ea typeface="+mn-ea"/>
            <a:cs typeface="+mn-cs"/>
          </a:endParaRPr>
        </a:p>
      </xdr:txBody>
    </xdr:sp>
    <xdr:clientData/>
  </xdr:twoCellAnchor>
  <xdr:twoCellAnchor editAs="oneCell">
    <xdr:from>
      <xdr:col>16</xdr:col>
      <xdr:colOff>301425</xdr:colOff>
      <xdr:row>0</xdr:row>
      <xdr:rowOff>0</xdr:rowOff>
    </xdr:from>
    <xdr:to>
      <xdr:col>18</xdr:col>
      <xdr:colOff>115947</xdr:colOff>
      <xdr:row>3</xdr:row>
      <xdr:rowOff>21844</xdr:rowOff>
    </xdr:to>
    <xdr:pic>
      <xdr:nvPicPr>
        <xdr:cNvPr id="3" name="Picture 1" descr="Energistyrelsen søger en Kontorchef til energiadministrativt kraftcenter i  Esbjerg - Altinget - Alt om politi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31325" y="0"/>
          <a:ext cx="1281372" cy="650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16</xdr:col>
          <xdr:colOff>57150</xdr:colOff>
          <xdr:row>50</xdr:row>
          <xdr:rowOff>152400</xdr:rowOff>
        </xdr:from>
        <xdr:to>
          <xdr:col>18</xdr:col>
          <xdr:colOff>19050</xdr:colOff>
          <xdr:row>57</xdr:row>
          <xdr:rowOff>133350</xdr:rowOff>
        </xdr:to>
        <xdr:sp macro="" textlink="">
          <xdr:nvSpPr>
            <xdr:cNvPr id="14342" name="Object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15</xdr:col>
      <xdr:colOff>389267</xdr:colOff>
      <xdr:row>0</xdr:row>
      <xdr:rowOff>21167</xdr:rowOff>
    </xdr:from>
    <xdr:to>
      <xdr:col>17</xdr:col>
      <xdr:colOff>9056</xdr:colOff>
      <xdr:row>3</xdr:row>
      <xdr:rowOff>119211</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7742" y="21167"/>
          <a:ext cx="1486689" cy="726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xdr:colOff>
      <xdr:row>23</xdr:row>
      <xdr:rowOff>222249</xdr:rowOff>
    </xdr:from>
    <xdr:to>
      <xdr:col>18</xdr:col>
      <xdr:colOff>31750</xdr:colOff>
      <xdr:row>60</xdr:row>
      <xdr:rowOff>134470</xdr:rowOff>
    </xdr:to>
    <xdr:sp macro="" textlink="">
      <xdr:nvSpPr>
        <xdr:cNvPr id="3" name="TextBox 2">
          <a:extLst>
            <a:ext uri="{FF2B5EF4-FFF2-40B4-BE49-F238E27FC236}">
              <a16:creationId xmlns:a16="http://schemas.microsoft.com/office/drawing/2014/main" id="{00000000-0008-0000-0500-000004000000}"/>
            </a:ext>
          </a:extLst>
        </xdr:cNvPr>
        <xdr:cNvSpPr txBox="1"/>
      </xdr:nvSpPr>
      <xdr:spPr>
        <a:xfrm>
          <a:off x="8460442" y="4861484"/>
          <a:ext cx="5847602" cy="696072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baseline="0">
              <a:effectLst/>
              <a:latin typeface="Verdana" panose="020B0604030504040204" pitchFamily="34" charset="0"/>
              <a:ea typeface="Verdana" panose="020B0604030504040204" pitchFamily="34" charset="0"/>
              <a:cs typeface="Times New Roman" panose="02020603050405020304" pitchFamily="18" charset="0"/>
            </a:rPr>
            <a:t>Dokumentationskrav ved ansøgning </a:t>
          </a:r>
          <a:r>
            <a:rPr lang="da-DK" sz="900" b="1">
              <a:effectLst/>
              <a:latin typeface="Verdana" panose="020B0604030504040204" pitchFamily="34" charset="0"/>
              <a:ea typeface="Verdana" panose="020B0604030504040204" pitchFamily="34" charset="0"/>
              <a:cs typeface="Times New Roman" panose="02020603050405020304" pitchFamily="18" charset="0"/>
            </a:rPr>
            <a:t>:</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solidFill>
                <a:schemeClr val="dk1"/>
              </a:solidFill>
              <a:effectLst/>
              <a:latin typeface="Verdana" panose="020B0604030504040204" pitchFamily="34" charset="0"/>
              <a:ea typeface="Verdana" panose="020B0604030504040204" pitchFamily="34" charset="0"/>
              <a:cs typeface="+mn-cs"/>
            </a:rPr>
            <a:t>Der skal foreligge dokumentation på besætningsstørrelsen ved enten at indsende en årsrapport der maksimal er 12 måneder gammel fra ansøgningsdatoen eller et udklip fra CHR.dk. </a:t>
          </a:r>
        </a:p>
        <a:p>
          <a:pPr marL="342900" lvl="0" indent="-342900">
            <a:lnSpc>
              <a:spcPct val="107000"/>
            </a:lnSpc>
            <a:spcAft>
              <a:spcPts val="800"/>
            </a:spcAft>
            <a:buFont typeface="Symbol" panose="05050102010706020507" pitchFamily="18" charset="2"/>
            <a:buChar char=""/>
          </a:pPr>
          <a:r>
            <a:rPr lang="da-DK" sz="900">
              <a:solidFill>
                <a:schemeClr val="dk1"/>
              </a:solidFill>
              <a:effectLst/>
              <a:latin typeface="Verdana" panose="020B0604030504040204" pitchFamily="34" charset="0"/>
              <a:ea typeface="Verdana" panose="020B0604030504040204" pitchFamily="34" charset="0"/>
              <a:cs typeface="+mn-cs"/>
            </a:rPr>
            <a:t>For projekter omhandlende stalde uden vekslere skal der foreligge billeddokumentation af staldende, hvor det fremgår tydeligt, at staldende ikke har installeret en veksler. </a:t>
          </a: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Effekten og alderen på kedel dokumenteres, eksempelvis gennem et billede af mærkepladen. Såfremt alderen ikke kan dokumenteres skal 2 år fra ansøgningstidspunktet vælges. </a:t>
          </a:r>
          <a:endParaRPr lang="da-DK" sz="900">
            <a:solidFill>
              <a:schemeClr val="dk1"/>
            </a:solidFill>
            <a:effectLst/>
            <a:latin typeface="Verdana" panose="020B0604030504040204" pitchFamily="34" charset="0"/>
            <a:ea typeface="Verdana" panose="020B0604030504040204" pitchFamily="34" charset="0"/>
            <a:cs typeface="+mn-cs"/>
          </a:endParaRP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Budget over de forventede støtteberettiget omkostninger for projektet. Budgettet kan udfyldes i Energistyrelsens budgetskabelon, som findes på </a:t>
          </a:r>
          <a:r>
            <a:rPr lang="da-DK" sz="1100" u="sng">
              <a:solidFill>
                <a:schemeClr val="dk1"/>
              </a:solidFill>
              <a:effectLst/>
              <a:latin typeface="+mn-lt"/>
              <a:ea typeface="+mn-ea"/>
              <a:cs typeface="+mn-cs"/>
              <a:hlinkClick xmlns:r="http://schemas.openxmlformats.org/officeDocument/2006/relationships" r:id=""/>
            </a:rPr>
            <a:t>Sparenergi</a:t>
          </a:r>
          <a:r>
            <a:rPr lang="da-DK" sz="1100">
              <a:solidFill>
                <a:schemeClr val="dk1"/>
              </a:solidFill>
              <a:effectLst/>
              <a:latin typeface="+mn-lt"/>
              <a:ea typeface="+mn-ea"/>
              <a:cs typeface="+mn-cs"/>
            </a:rPr>
            <a:t> under hjælpeværktøjer. Støtteberettiget omkostninger er eksempelvis nødvendige anlægsomkostninger og ekstern rådgivning. Bemærk, hvis brændselskedlen leverer varme til både beboelse og erhverv skal de investeringsomkostninger, der vedrører beboelsen fratrækkes i budgettet.  </a:t>
          </a:r>
        </a:p>
        <a:p>
          <a:r>
            <a:rPr lang="da-DK" sz="1100" b="1">
              <a:solidFill>
                <a:schemeClr val="dk1"/>
              </a:solidFill>
              <a:effectLst/>
              <a:latin typeface="+mn-lt"/>
              <a:ea typeface="+mn-ea"/>
              <a:cs typeface="+mn-cs"/>
            </a:rPr>
            <a:t>Dokumentationskrav</a:t>
          </a:r>
          <a:r>
            <a:rPr lang="da-DK" sz="1100" b="1" baseline="0">
              <a:solidFill>
                <a:schemeClr val="dk1"/>
              </a:solidFill>
              <a:effectLst/>
              <a:latin typeface="+mn-lt"/>
              <a:ea typeface="+mn-ea"/>
              <a:cs typeface="+mn-cs"/>
            </a:rPr>
            <a:t> ved udbetaling</a:t>
          </a:r>
          <a:r>
            <a:rPr lang="da-DK" sz="1100">
              <a:solidFill>
                <a:schemeClr val="dk1"/>
              </a:solidFill>
              <a:effectLst/>
              <a:latin typeface="+mn-lt"/>
              <a:ea typeface="+mn-ea"/>
              <a:cs typeface="+mn-cs"/>
            </a:rPr>
            <a:t>:</a:t>
          </a:r>
        </a:p>
        <a:p>
          <a:pPr marL="342900" lvl="0" indent="-342900">
            <a:lnSpc>
              <a:spcPct val="107000"/>
            </a:lnSpc>
            <a:spcAft>
              <a:spcPts val="800"/>
            </a:spcAft>
            <a:buFont typeface="Symbol" panose="05050102010706020507" pitchFamily="18" charset="2"/>
            <a:buChar char=""/>
          </a:pPr>
          <a:r>
            <a:rPr lang="da-DK" sz="1100">
              <a:solidFill>
                <a:schemeClr val="dk1"/>
              </a:solidFill>
              <a:effectLst/>
              <a:latin typeface="+mn-lt"/>
              <a:ea typeface="+mn-ea"/>
              <a:cs typeface="+mn-cs"/>
            </a:rPr>
            <a:t>Datablad for virkningsgrad for brændselskedlen /SCOP-værdi for varmepumpen. SCOP-værdi aflæses på datablad for varmepumpen, såfremt SCOP ved 35 grader vælges, skal det dokumenteres at systemet kører med en fremløbstemperatur på 35 grader. Dette kunne eksempelvis være billeder af gulvvarme.</a:t>
          </a: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Dokumentation på at projektet er realisteret. Som dokumentation for realisering indsendes fakturaer for støtteberettiget omkostninger samt dokumentation på betaling af omkostninger ved en bankudskrift. Du kan blive bedt om at dokumentere, at projektet ikke er blevet påbegyndt inden du ansøgte fx ved at indsendelse af en ordrebekræftelse. Yderligere information omkring regnskabsbilag findes i kap. 4.2 i ”Vejledning til ansøgning om erhvervstilskud”.</a:t>
          </a:r>
        </a:p>
        <a:p>
          <a:pPr marL="342900" lvl="0" indent="-342900">
            <a:lnSpc>
              <a:spcPct val="107000"/>
            </a:lnSpc>
            <a:spcAft>
              <a:spcPts val="800"/>
            </a:spcAft>
            <a:buFont typeface="Symbol" panose="05050102010706020507" pitchFamily="18" charset="2"/>
            <a:buChar char=""/>
          </a:pPr>
          <a:endParaRPr lang="da-DK" sz="1100">
            <a:effectLst/>
          </a:endParaRPr>
        </a:p>
        <a:p>
          <a:r>
            <a:rPr lang="da-DK" sz="1100" b="1" i="0">
              <a:solidFill>
                <a:schemeClr val="dk1"/>
              </a:solidFill>
              <a:effectLst/>
              <a:latin typeface="+mn-lt"/>
              <a:ea typeface="+mn-ea"/>
              <a:cs typeface="+mn-cs"/>
            </a:rPr>
            <a:t>For yderligere</a:t>
          </a:r>
          <a:r>
            <a:rPr lang="da-DK" sz="1100" b="1" i="0" baseline="0">
              <a:solidFill>
                <a:schemeClr val="dk1"/>
              </a:solidFill>
              <a:effectLst/>
              <a:latin typeface="+mn-lt"/>
              <a:ea typeface="+mn-ea"/>
              <a:cs typeface="+mn-cs"/>
            </a:rPr>
            <a:t> vejledning henvises til vejledningen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Vejledning til standardløsning for udskiftning af brændselskedler i stalde"</a:t>
          </a:r>
          <a:r>
            <a:rPr lang="da-DK" sz="1100" b="1" i="0">
              <a:solidFill>
                <a:schemeClr val="dk1"/>
              </a:solidFill>
              <a:effectLst/>
              <a:latin typeface="+mn-lt"/>
              <a:ea typeface="+mn-ea"/>
              <a:cs typeface="+mn-cs"/>
            </a:rPr>
            <a:t>:</a:t>
          </a:r>
          <a:r>
            <a:rPr lang="da-DK" sz="1100" b="1" i="1">
              <a:solidFill>
                <a:schemeClr val="dk1"/>
              </a:solidFill>
              <a:effectLst/>
              <a:latin typeface="+mn-lt"/>
              <a:ea typeface="+mn-ea"/>
              <a:cs typeface="+mn-cs"/>
            </a:rPr>
            <a:t> </a:t>
          </a:r>
          <a:r>
            <a:rPr lang="da-DK" sz="1100" b="0" i="1">
              <a:solidFill>
                <a:schemeClr val="dk1"/>
              </a:solidFill>
              <a:effectLst/>
              <a:latin typeface="+mn-lt"/>
              <a:ea typeface="+mn-ea"/>
              <a:cs typeface="+mn-cs"/>
            </a:rPr>
            <a:t> </a:t>
          </a:r>
          <a:r>
            <a:rPr lang="da-DK" sz="1100">
              <a:solidFill>
                <a:schemeClr val="dk1"/>
              </a:solidFill>
              <a:effectLst/>
              <a:latin typeface="+mn-lt"/>
              <a:ea typeface="+mn-ea"/>
              <a:cs typeface="+mn-cs"/>
            </a:rPr>
            <a:t> </a:t>
          </a:r>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r>
            <a:rPr lang="da-DK" sz="1100" b="1" i="1" baseline="0">
              <a:solidFill>
                <a:schemeClr val="dk1"/>
              </a:solidFill>
              <a:effectLst/>
              <a:latin typeface="+mn-lt"/>
              <a:ea typeface="+mn-ea"/>
              <a:cs typeface="+mn-cs"/>
            </a:rPr>
            <a:t>Behov for hjælp til udfyldelse af ansøgningsskemaet, se kap. 4 i vejledningen</a:t>
          </a:r>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xdr:txBody>
    </xdr:sp>
    <xdr:clientData/>
  </xdr:twoCellAnchor>
  <mc:AlternateContent xmlns:mc="http://schemas.openxmlformats.org/markup-compatibility/2006">
    <mc:Choice xmlns:a14="http://schemas.microsoft.com/office/drawing/2010/main" Requires="a14">
      <xdr:twoCellAnchor editAs="oneCell">
        <xdr:from>
          <xdr:col>15</xdr:col>
          <xdr:colOff>819150</xdr:colOff>
          <xdr:row>51</xdr:row>
          <xdr:rowOff>104775</xdr:rowOff>
        </xdr:from>
        <xdr:to>
          <xdr:col>17</xdr:col>
          <xdr:colOff>57150</xdr:colOff>
          <xdr:row>57</xdr:row>
          <xdr:rowOff>19050</xdr:rowOff>
        </xdr:to>
        <xdr:sp macro="" textlink="">
          <xdr:nvSpPr>
            <xdr:cNvPr id="34820" name="Object 4" hidden="1">
              <a:extLst>
                <a:ext uri="{63B3BB69-23CF-44E3-9099-C40C66FF867C}">
                  <a14:compatExt spid="_x0000_s3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14</xdr:col>
      <xdr:colOff>83516</xdr:colOff>
      <xdr:row>0</xdr:row>
      <xdr:rowOff>0</xdr:rowOff>
    </xdr:from>
    <xdr:ext cx="1155324" cy="593344"/>
    <xdr:pic>
      <xdr:nvPicPr>
        <xdr:cNvPr id="2" name="Picture 1" descr="Energistyrelsen søger en Kontorchef til energiadministrativt kraftcenter i  Esbjerg - Altinget - Alt om politik">
          <a:extLst>
            <a:ext uri="{FF2B5EF4-FFF2-40B4-BE49-F238E27FC236}">
              <a16:creationId xmlns:a16="http://schemas.microsoft.com/office/drawing/2014/main" id="{38308480-2C0F-4E0A-B08D-00D83986F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0066" y="0"/>
          <a:ext cx="1155324" cy="593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157442</xdr:colOff>
      <xdr:row>13</xdr:row>
      <xdr:rowOff>20730</xdr:rowOff>
    </xdr:from>
    <xdr:to>
      <xdr:col>16</xdr:col>
      <xdr:colOff>476250</xdr:colOff>
      <xdr:row>20</xdr:row>
      <xdr:rowOff>0</xdr:rowOff>
    </xdr:to>
    <xdr:sp macro="" textlink="">
      <xdr:nvSpPr>
        <xdr:cNvPr id="3" name="TextBox 2">
          <a:extLst>
            <a:ext uri="{FF2B5EF4-FFF2-40B4-BE49-F238E27FC236}">
              <a16:creationId xmlns:a16="http://schemas.microsoft.com/office/drawing/2014/main" id="{F92CCB9D-08D2-41A2-BCA8-92A0CB08EBBD}"/>
            </a:ext>
          </a:extLst>
        </xdr:cNvPr>
        <xdr:cNvSpPr txBox="1"/>
      </xdr:nvSpPr>
      <xdr:spPr>
        <a:xfrm>
          <a:off x="11635067" y="3040155"/>
          <a:ext cx="5290858" cy="2198595"/>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i="1">
              <a:solidFill>
                <a:schemeClr val="dk1"/>
              </a:solidFill>
              <a:effectLst/>
              <a:latin typeface="+mn-lt"/>
              <a:ea typeface="+mn-ea"/>
              <a:cs typeface="+mn-cs"/>
            </a:rPr>
            <a:t>Dokumentationskrav ved  ansøgning: </a:t>
          </a:r>
          <a:endParaRPr lang="da-DK" sz="1100">
            <a:solidFill>
              <a:schemeClr val="dk1"/>
            </a:solidFill>
            <a:effectLst/>
            <a:latin typeface="+mn-lt"/>
            <a:ea typeface="+mn-ea"/>
            <a:cs typeface="+mn-cs"/>
          </a:endParaRPr>
        </a:p>
        <a:p>
          <a:r>
            <a:rPr lang="da-DK" sz="800">
              <a:solidFill>
                <a:schemeClr val="dk1"/>
              </a:solidFill>
              <a:effectLst/>
              <a:latin typeface="+mn-lt"/>
              <a:ea typeface="+mn-ea"/>
              <a:cs typeface="+mn-cs"/>
            </a:rPr>
            <a:t>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da-DK" sz="1100">
              <a:solidFill>
                <a:schemeClr val="dk1"/>
              </a:solidFill>
              <a:effectLst/>
              <a:latin typeface="+mn-lt"/>
              <a:ea typeface="+mn-ea"/>
              <a:cs typeface="+mn-cs"/>
            </a:rPr>
            <a:t>Effekten og alderen på kedel dokumenteres, eksempelvis gennem et billede af mærkepladen. Såfremt alderen ikke kan dokumenteres skal 2 år fra ansøgningstidspunktet vælges.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solidFill>
              <a:schemeClr val="dk1"/>
            </a:solidFill>
            <a:effectLst/>
            <a:latin typeface="+mn-lt"/>
            <a:ea typeface="+mn-ea"/>
            <a:cs typeface="+mn-cs"/>
          </a:endParaRPr>
        </a:p>
        <a:p>
          <a:pPr marL="228600" indent="-228600">
            <a:buFont typeface="+mj-lt"/>
            <a:buAutoNum type="arabicPeriod"/>
          </a:pPr>
          <a:endParaRPr lang="da-DK" sz="900" b="0" i="0" u="none" strike="noStrike">
            <a:solidFill>
              <a:schemeClr val="dk1"/>
            </a:solidFill>
            <a:effectLst/>
            <a:latin typeface="+mn-lt"/>
            <a:ea typeface="+mn-ea"/>
            <a:cs typeface="+mn-cs"/>
          </a:endParaRPr>
        </a:p>
        <a:p>
          <a:r>
            <a:rPr lang="da-DK" sz="1100" b="1" i="0">
              <a:solidFill>
                <a:schemeClr val="dk1"/>
              </a:solidFill>
              <a:effectLst/>
              <a:latin typeface="+mn-lt"/>
              <a:ea typeface="+mn-ea"/>
              <a:cs typeface="+mn-cs"/>
            </a:rPr>
            <a:t>For yderligere</a:t>
          </a:r>
          <a:r>
            <a:rPr lang="da-DK" sz="1100" b="1" i="0" baseline="0">
              <a:solidFill>
                <a:schemeClr val="dk1"/>
              </a:solidFill>
              <a:effectLst/>
              <a:latin typeface="+mn-lt"/>
              <a:ea typeface="+mn-ea"/>
              <a:cs typeface="+mn-cs"/>
            </a:rPr>
            <a:t> vejledning henvises der til vejledning virkningsgradsberegneren for brændselskedler under 1000 kW</a:t>
          </a:r>
          <a:r>
            <a:rPr lang="da-DK" sz="1100" b="1" i="0">
              <a:solidFill>
                <a:schemeClr val="dk1"/>
              </a:solidFill>
              <a:effectLst/>
              <a:latin typeface="+mn-lt"/>
              <a:ea typeface="+mn-ea"/>
              <a:cs typeface="+mn-cs"/>
            </a:rPr>
            <a:t>:</a:t>
          </a:r>
          <a:r>
            <a:rPr lang="da-DK" sz="1100" b="1" i="1">
              <a:solidFill>
                <a:schemeClr val="dk1"/>
              </a:solidFill>
              <a:effectLst/>
              <a:latin typeface="+mn-lt"/>
              <a:ea typeface="+mn-ea"/>
              <a:cs typeface="+mn-cs"/>
            </a:rPr>
            <a:t> </a:t>
          </a:r>
          <a:r>
            <a:rPr lang="da-DK" sz="1100" b="0" i="1" u="none" strike="noStrike">
              <a:solidFill>
                <a:schemeClr val="dk1"/>
              </a:solidFill>
              <a:effectLst/>
              <a:latin typeface="+mn-lt"/>
              <a:ea typeface="+mn-ea"/>
              <a:cs typeface="+mn-cs"/>
            </a:rPr>
            <a:t> </a:t>
          </a:r>
          <a:r>
            <a:rPr lang="da-DK"/>
            <a:t> </a:t>
          </a:r>
          <a:r>
            <a:rPr lang="da-DK" sz="1100" b="0" i="0" u="none" strike="noStrike">
              <a:solidFill>
                <a:schemeClr val="dk1"/>
              </a:solidFill>
              <a:effectLst/>
              <a:latin typeface="+mn-lt"/>
              <a:ea typeface="+mn-ea"/>
              <a:cs typeface="+mn-cs"/>
            </a:rPr>
            <a:t> </a:t>
          </a:r>
          <a:r>
            <a:rPr lang="da-DK"/>
            <a:t> </a:t>
          </a:r>
        </a:p>
        <a:p>
          <a:endParaRPr lang="da-DK"/>
        </a:p>
        <a:p>
          <a:r>
            <a:rPr lang="da-DK" b="1"/>
            <a:t>Generelle dokumentationskrav henvises</a:t>
          </a:r>
          <a:r>
            <a:rPr lang="da-DK" b="1" baseline="0"/>
            <a:t> til vejledningen </a:t>
          </a:r>
          <a:endParaRPr lang="da-DK" b="1"/>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endParaRPr lang="da-DK" sz="600" b="1" i="1">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da-DK" sz="1100">
            <a:effectLst/>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a:p>
          <a:pPr marL="228600" indent="-228600">
            <a:buFont typeface="+mj-lt"/>
            <a:buAutoNum type="arabicPeriod"/>
          </a:pPr>
          <a:endParaRPr lang="da-DK"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14</xdr:col>
          <xdr:colOff>590550</xdr:colOff>
          <xdr:row>17</xdr:row>
          <xdr:rowOff>180975</xdr:rowOff>
        </xdr:from>
        <xdr:to>
          <xdr:col>15</xdr:col>
          <xdr:colOff>95250</xdr:colOff>
          <xdr:row>19</xdr:row>
          <xdr:rowOff>304800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15</xdr:col>
      <xdr:colOff>83516</xdr:colOff>
      <xdr:row>0</xdr:row>
      <xdr:rowOff>0</xdr:rowOff>
    </xdr:from>
    <xdr:ext cx="1155324" cy="593344"/>
    <xdr:pic>
      <xdr:nvPicPr>
        <xdr:cNvPr id="2" name="Picture 1" descr="Energistyrelsen søger en Kontorchef til energiadministrativt kraftcenter i  Esbjerg - Altinget - Alt om politik">
          <a:extLst>
            <a:ext uri="{FF2B5EF4-FFF2-40B4-BE49-F238E27FC236}">
              <a16:creationId xmlns:a16="http://schemas.microsoft.com/office/drawing/2014/main" id="{38308480-2C0F-4E0A-B08D-00D83986F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99541" y="0"/>
          <a:ext cx="1155324" cy="593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114300</xdr:colOff>
      <xdr:row>14</xdr:row>
      <xdr:rowOff>12370</xdr:rowOff>
    </xdr:from>
    <xdr:to>
      <xdr:col>19</xdr:col>
      <xdr:colOff>447675</xdr:colOff>
      <xdr:row>25</xdr:row>
      <xdr:rowOff>4950</xdr:rowOff>
    </xdr:to>
    <xdr:sp macro="" textlink="">
      <xdr:nvSpPr>
        <xdr:cNvPr id="3" name="TextBox 2">
          <a:extLst>
            <a:ext uri="{FF2B5EF4-FFF2-40B4-BE49-F238E27FC236}">
              <a16:creationId xmlns:a16="http://schemas.microsoft.com/office/drawing/2014/main" id="{F92CCB9D-08D2-41A2-BCA8-92A0CB08EBBD}"/>
            </a:ext>
          </a:extLst>
        </xdr:cNvPr>
        <xdr:cNvSpPr txBox="1"/>
      </xdr:nvSpPr>
      <xdr:spPr>
        <a:xfrm>
          <a:off x="12991605" y="2906980"/>
          <a:ext cx="3797012" cy="3085113"/>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indent="-228600">
            <a:buFont typeface="+mj-lt"/>
            <a:buAutoNum type="arabicPeriod"/>
          </a:pPr>
          <a:endParaRPr lang="da-DK" sz="1100" b="0" i="0" u="none" strike="noStrike">
            <a:solidFill>
              <a:schemeClr val="dk1"/>
            </a:solidFill>
            <a:effectLst/>
            <a:latin typeface="+mn-lt"/>
            <a:ea typeface="+mn-ea"/>
            <a:cs typeface="+mn-cs"/>
          </a:endParaRPr>
        </a:p>
        <a:p>
          <a:r>
            <a:rPr lang="da-DK" sz="1100" i="1">
              <a:solidFill>
                <a:schemeClr val="dk1"/>
              </a:solidFill>
              <a:effectLst/>
              <a:latin typeface="+mn-lt"/>
              <a:ea typeface="+mn-ea"/>
              <a:cs typeface="+mn-cs"/>
            </a:rPr>
            <a:t>Dokumentationskrav ved  ansøgning: </a:t>
          </a:r>
          <a:endParaRPr lang="da-DK">
            <a:effectLst/>
          </a:endParaRPr>
        </a:p>
        <a:p>
          <a:r>
            <a:rPr lang="da-DK" sz="1100">
              <a:solidFill>
                <a:schemeClr val="dk1"/>
              </a:solidFill>
              <a:effectLst/>
              <a:latin typeface="+mn-lt"/>
              <a:ea typeface="+mn-ea"/>
              <a:cs typeface="+mn-cs"/>
            </a:rPr>
            <a:t> </a:t>
          </a:r>
          <a:endParaRPr lang="da-DK">
            <a:effectLst/>
          </a:endParaRPr>
        </a:p>
        <a:p>
          <a:pPr eaLnBrk="1" fontAlgn="auto" latinLnBrk="0" hangingPunct="1"/>
          <a:r>
            <a:rPr lang="da-DK" sz="1100">
              <a:solidFill>
                <a:schemeClr val="dk1"/>
              </a:solidFill>
              <a:effectLst/>
              <a:latin typeface="+mn-lt"/>
              <a:ea typeface="+mn-ea"/>
              <a:cs typeface="+mn-cs"/>
            </a:rPr>
            <a:t>1.</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Der skal indsendes et billede af kaloriferen. Desuden skal effekt og alder på hver kaloriferer dokumenteres. Dette kan eksempelvis være vha. et billede af mærkepladen eller en faktura på eksisterende brændselskedel. </a:t>
          </a:r>
          <a:endParaRPr lang="da-DK">
            <a:effectLst/>
          </a:endParaRPr>
        </a:p>
        <a:p>
          <a:pPr marL="228600" indent="-228600">
            <a:buFont typeface="+mj-lt"/>
            <a:buAutoNum type="arabicPeriod"/>
          </a:pPr>
          <a:endParaRPr lang="da-DK" sz="1100" b="0" i="0" u="none" strike="noStrike" baseline="0">
            <a:solidFill>
              <a:schemeClr val="dk1"/>
            </a:solidFill>
            <a:effectLst/>
            <a:latin typeface="+mn-lt"/>
            <a:ea typeface="+mn-ea"/>
            <a:cs typeface="+mn-cs"/>
          </a:endParaRPr>
        </a:p>
        <a:p>
          <a:r>
            <a:rPr lang="da-DK" sz="1100" b="1">
              <a:solidFill>
                <a:schemeClr val="dk1"/>
              </a:solidFill>
              <a:effectLst/>
              <a:latin typeface="+mn-lt"/>
              <a:ea typeface="+mn-ea"/>
              <a:cs typeface="+mn-cs"/>
            </a:rPr>
            <a:t>Uddybelse</a:t>
          </a:r>
          <a:r>
            <a:rPr lang="da-DK" sz="1100" b="1" baseline="0">
              <a:solidFill>
                <a:schemeClr val="dk1"/>
              </a:solidFill>
              <a:effectLst/>
              <a:latin typeface="+mn-lt"/>
              <a:ea typeface="+mn-ea"/>
              <a:cs typeface="+mn-cs"/>
            </a:rPr>
            <a:t> af dokumentationskrav kan findes i "</a:t>
          </a:r>
          <a:r>
            <a:rPr lang="da-DK" sz="1100" b="1" i="1" baseline="0">
              <a:solidFill>
                <a:schemeClr val="dk1"/>
              </a:solidFill>
              <a:effectLst/>
              <a:latin typeface="+mn-lt"/>
              <a:ea typeface="+mn-ea"/>
              <a:cs typeface="+mn-cs"/>
            </a:rPr>
            <a:t>Vejledning til standardløsning for varmeforsyning</a:t>
          </a:r>
          <a:r>
            <a:rPr lang="da-DK" sz="1100" b="1" baseline="0">
              <a:solidFill>
                <a:schemeClr val="dk1"/>
              </a:solidFill>
              <a:effectLst/>
              <a:latin typeface="+mn-lt"/>
              <a:ea typeface="+mn-ea"/>
              <a:cs typeface="+mn-cs"/>
            </a:rPr>
            <a:t>"</a:t>
          </a:r>
          <a:br>
            <a:rPr lang="da-DK" sz="1100" b="1" baseline="0">
              <a:solidFill>
                <a:schemeClr val="dk1"/>
              </a:solidFill>
              <a:effectLst/>
              <a:latin typeface="+mn-lt"/>
              <a:ea typeface="+mn-ea"/>
              <a:cs typeface="+mn-cs"/>
            </a:rPr>
          </a:br>
          <a:r>
            <a:rPr lang="da-DK" sz="1100" b="0" i="0">
              <a:solidFill>
                <a:schemeClr val="dk1"/>
              </a:solidFill>
              <a:effectLst/>
              <a:latin typeface="+mn-lt"/>
              <a:ea typeface="+mn-ea"/>
              <a:cs typeface="+mn-cs"/>
            </a:rPr>
            <a:t> </a:t>
          </a:r>
          <a:br>
            <a:rPr lang="da-DK" sz="1100" b="0" i="0">
              <a:solidFill>
                <a:schemeClr val="dk1"/>
              </a:solidFill>
              <a:effectLst/>
              <a:latin typeface="+mn-lt"/>
              <a:ea typeface="+mn-ea"/>
              <a:cs typeface="+mn-cs"/>
            </a:rPr>
          </a:br>
          <a:r>
            <a:rPr lang="da-DK" sz="1100">
              <a:solidFill>
                <a:schemeClr val="dk1"/>
              </a:solidFill>
              <a:effectLst/>
              <a:latin typeface="+mn-lt"/>
              <a:ea typeface="+mn-ea"/>
              <a:cs typeface="+mn-cs"/>
            </a:rPr>
            <a:t>Standardløsningen i Excel-format samt de pågældende dokumentationskrav skal vedhæftes i ansøgningen</a:t>
          </a:r>
          <a:endParaRPr lang="da-DK">
            <a:effectLst/>
          </a:endParaRPr>
        </a:p>
      </xdr:txBody>
    </xdr:sp>
    <xdr:clientData/>
  </xdr:twoCellAnchor>
  <mc:AlternateContent xmlns:mc="http://schemas.openxmlformats.org/markup-compatibility/2006">
    <mc:Choice xmlns:a14="http://schemas.microsoft.com/office/drawing/2010/main" Requires="a14">
      <xdr:twoCellAnchor editAs="oneCell">
        <xdr:from>
          <xdr:col>18</xdr:col>
          <xdr:colOff>161925</xdr:colOff>
          <xdr:row>22</xdr:row>
          <xdr:rowOff>152400</xdr:rowOff>
        </xdr:from>
        <xdr:to>
          <xdr:col>19</xdr:col>
          <xdr:colOff>514350</xdr:colOff>
          <xdr:row>25</xdr:row>
          <xdr:rowOff>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30</xdr:col>
      <xdr:colOff>1</xdr:colOff>
      <xdr:row>1</xdr:row>
      <xdr:rowOff>0</xdr:rowOff>
    </xdr:from>
    <xdr:to>
      <xdr:col>35</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xdr:row>
      <xdr:rowOff>1</xdr:rowOff>
    </xdr:from>
    <xdr:to>
      <xdr:col>26</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840438</xdr:colOff>
      <xdr:row>17</xdr:row>
      <xdr:rowOff>558</xdr:rowOff>
    </xdr:from>
    <xdr:to>
      <xdr:col>10</xdr:col>
      <xdr:colOff>301997</xdr:colOff>
      <xdr:row>39</xdr:row>
      <xdr:rowOff>133909</xdr:rowOff>
    </xdr:to>
    <xdr:graphicFrame macro="">
      <xdr:nvGraphicFramePr>
        <xdr:cNvPr id="5" name="Diagram 4">
          <a:extLst>
            <a:ext uri="{FF2B5EF4-FFF2-40B4-BE49-F238E27FC236}">
              <a16:creationId xmlns:a16="http://schemas.microsoft.com/office/drawing/2014/main" id="{711CC444-FA74-406B-BCB0-46DB9DE156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xdr:colOff>
      <xdr:row>11</xdr:row>
      <xdr:rowOff>0</xdr:rowOff>
    </xdr:from>
    <xdr:to>
      <xdr:col>26</xdr:col>
      <xdr:colOff>1</xdr:colOff>
      <xdr:row>19</xdr:row>
      <xdr:rowOff>0</xdr:rowOff>
    </xdr:to>
    <xdr:graphicFrame macro="">
      <xdr:nvGraphicFramePr>
        <xdr:cNvPr id="6" name="Diagram 5">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xdr:colOff>
      <xdr:row>20</xdr:row>
      <xdr:rowOff>0</xdr:rowOff>
    </xdr:from>
    <xdr:to>
      <xdr:col>26</xdr:col>
      <xdr:colOff>1</xdr:colOff>
      <xdr:row>28</xdr:row>
      <xdr:rowOff>0</xdr:rowOff>
    </xdr:to>
    <xdr:graphicFrame macro="">
      <xdr:nvGraphicFramePr>
        <xdr:cNvPr id="7" name="Diagram 6">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xdr:colOff>
      <xdr:row>29</xdr:row>
      <xdr:rowOff>0</xdr:rowOff>
    </xdr:from>
    <xdr:to>
      <xdr:col>26</xdr:col>
      <xdr:colOff>1</xdr:colOff>
      <xdr:row>37</xdr:row>
      <xdr:rowOff>0</xdr:rowOff>
    </xdr:to>
    <xdr:graphicFrame macro="">
      <xdr:nvGraphicFramePr>
        <xdr:cNvPr id="8" name="Diagram 7">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xdr:colOff>
      <xdr:row>38</xdr:row>
      <xdr:rowOff>0</xdr:rowOff>
    </xdr:from>
    <xdr:to>
      <xdr:col>26</xdr:col>
      <xdr:colOff>1</xdr:colOff>
      <xdr:row>46</xdr:row>
      <xdr:rowOff>0</xdr:rowOff>
    </xdr:to>
    <xdr:graphicFrame macro="">
      <xdr:nvGraphicFramePr>
        <xdr:cNvPr id="9"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xdr:colOff>
      <xdr:row>47</xdr:row>
      <xdr:rowOff>0</xdr:rowOff>
    </xdr:from>
    <xdr:to>
      <xdr:col>26</xdr:col>
      <xdr:colOff>1</xdr:colOff>
      <xdr:row>55</xdr:row>
      <xdr:rowOff>0</xdr:rowOff>
    </xdr:to>
    <xdr:graphicFrame macro="">
      <xdr:nvGraphicFramePr>
        <xdr:cNvPr id="10" name="Diagram 9">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130824\Downloads\bilag_5_-_standardloesning_for_udskiftning_af_braendselskedler_i_stalde_120822%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130824/Downloads/bilag_5_-_standardloesning_for_udskiftning_af_braendselskedler_i_stalde_120822%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E/-%204%20-%20Team%20Erhvervspulje/01%20-%20Personmapper/NJBL/Standardloesninger_for_varmeforsyning_13-12-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Beskrivelse"/>
      <sheetName val="Grise - Varmeforbrug"/>
      <sheetName val="Grise - regneark"/>
      <sheetName val="Grise - Virkningsgrader"/>
      <sheetName val="Grise-Virkningsgrad regneark"/>
      <sheetName val="Kyllinge - Varmeforbrug "/>
      <sheetName val="Kyllinge - regneark"/>
      <sheetName val="Kyllinge - virkningsgrad"/>
      <sheetName val="Kyllinge-Virkningsgrad regneark"/>
    </sheetNames>
    <sheetDataSet>
      <sheetData sheetId="0">
        <row r="4">
          <cell r="P4" t="str">
            <v>Vers. 1  11.03.2022</v>
          </cell>
        </row>
      </sheetData>
      <sheetData sheetId="1"/>
      <sheetData sheetId="2"/>
      <sheetData sheetId="3" refreshError="1">
        <row r="10">
          <cell r="B10" t="str">
            <v>Ja</v>
          </cell>
        </row>
        <row r="28">
          <cell r="B28" t="str">
            <v>Brændselskedel</v>
          </cell>
          <cell r="C28" t="str">
            <v>Fjernvarme</v>
          </cell>
          <cell r="D28" t="str">
            <v>Varmepumpe</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se - regneark"/>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ør-situ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10.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11.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13.xml"/><Relationship Id="rId4"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hyperlink" Target="https://ens.dk/sites/ens.dk/files/CO2/standardfaktorer_for_2019.pdf" TargetMode="External"/><Relationship Id="rId2" Type="http://schemas.openxmlformats.org/officeDocument/2006/relationships/hyperlink" Target="https://ens.dk/sites/ens.dk/files/CO2/standardfaktorer_for_2019.pdf" TargetMode="External"/><Relationship Id="rId1" Type="http://schemas.openxmlformats.org/officeDocument/2006/relationships/hyperlink" Target="https://ens.dk/sites/ens.dk/files/CO2/standardfaktorer_for_2019.pdf" TargetMode="External"/><Relationship Id="rId5" Type="http://schemas.openxmlformats.org/officeDocument/2006/relationships/drawing" Target="../drawings/drawing14.xml"/><Relationship Id="rId4"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4.emf"/><Relationship Id="rId4" Type="http://schemas.openxmlformats.org/officeDocument/2006/relationships/oleObject" Target="../embeddings/oleObject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38"/>
  <sheetViews>
    <sheetView tabSelected="1" topLeftCell="B1" workbookViewId="0">
      <selection activeCell="P5" sqref="P5"/>
    </sheetView>
  </sheetViews>
  <sheetFormatPr defaultColWidth="10.42578125" defaultRowHeight="12.75" customHeight="1" x14ac:dyDescent="0.15"/>
  <cols>
    <col min="1" max="1" width="7.42578125" style="67" customWidth="1"/>
    <col min="2" max="2" width="4.42578125" style="67" customWidth="1"/>
    <col min="3" max="3" width="5.42578125" style="67" customWidth="1"/>
    <col min="4" max="4" width="11.42578125" style="67" customWidth="1"/>
    <col min="5" max="5" width="15.42578125" style="67" customWidth="1"/>
    <col min="6" max="6" width="10.42578125" style="67" customWidth="1"/>
    <col min="7" max="7" width="10.5703125" style="67" customWidth="1"/>
    <col min="8" max="8" width="7" style="67" customWidth="1"/>
    <col min="9" max="9" width="11.28515625" style="67" customWidth="1"/>
    <col min="10" max="10" width="6.42578125" style="67" customWidth="1"/>
    <col min="11" max="11" width="4.5703125" style="67" customWidth="1"/>
    <col min="12" max="12" width="3.42578125" style="67" customWidth="1"/>
    <col min="13" max="13" width="10.42578125" style="67" customWidth="1"/>
    <col min="14" max="14" width="12.5703125" style="67" customWidth="1"/>
    <col min="15" max="15" width="7.5703125" style="67" customWidth="1"/>
    <col min="16" max="16384" width="10.42578125" style="67"/>
  </cols>
  <sheetData>
    <row r="1" spans="1:16" ht="6.75" customHeight="1" x14ac:dyDescent="0.15">
      <c r="A1" s="1"/>
      <c r="B1" s="1"/>
      <c r="C1" s="1"/>
      <c r="D1" s="1"/>
      <c r="E1" s="1"/>
      <c r="F1" s="1"/>
      <c r="G1" s="1"/>
      <c r="H1" s="1"/>
      <c r="I1" s="1"/>
      <c r="J1" s="1"/>
      <c r="K1" s="1"/>
      <c r="L1" s="1"/>
      <c r="M1" s="1"/>
      <c r="N1" s="1"/>
      <c r="O1" s="1"/>
      <c r="P1" s="1"/>
    </row>
    <row r="2" spans="1:16" ht="14.25" customHeight="1" x14ac:dyDescent="0.2">
      <c r="A2" s="1"/>
      <c r="B2" s="545" t="s">
        <v>323</v>
      </c>
      <c r="C2" s="545"/>
      <c r="D2" s="545"/>
      <c r="E2" s="545"/>
      <c r="F2" s="545"/>
      <c r="G2" s="545"/>
      <c r="H2" s="68"/>
      <c r="I2" s="546"/>
      <c r="J2" s="546"/>
      <c r="K2" s="546"/>
      <c r="L2" s="546"/>
      <c r="M2" s="546"/>
      <c r="N2" s="546"/>
      <c r="O2" s="69"/>
      <c r="P2" s="70"/>
    </row>
    <row r="3" spans="1:16" ht="31.5" customHeight="1" x14ac:dyDescent="0.15">
      <c r="A3" s="2"/>
      <c r="B3" s="545"/>
      <c r="C3" s="545"/>
      <c r="D3" s="545"/>
      <c r="E3" s="545"/>
      <c r="F3" s="545"/>
      <c r="G3" s="545"/>
      <c r="H3" s="68"/>
      <c r="I3" s="546"/>
      <c r="J3" s="546"/>
      <c r="K3" s="546"/>
      <c r="L3" s="546"/>
      <c r="M3" s="546"/>
      <c r="N3" s="546"/>
      <c r="O3" s="71"/>
      <c r="P3" s="70"/>
    </row>
    <row r="4" spans="1:16" ht="9.75" customHeight="1" x14ac:dyDescent="0.25">
      <c r="A4" s="3"/>
      <c r="B4" s="72"/>
      <c r="C4" s="72"/>
      <c r="D4" s="72"/>
      <c r="E4" s="72"/>
      <c r="F4" s="72"/>
      <c r="G4" s="72"/>
      <c r="H4" s="73"/>
      <c r="I4" s="74"/>
      <c r="J4" s="70"/>
      <c r="K4" s="70"/>
      <c r="L4" s="70"/>
      <c r="M4" s="70"/>
      <c r="N4" s="70"/>
      <c r="O4" s="70"/>
      <c r="P4" s="75" t="s">
        <v>397</v>
      </c>
    </row>
    <row r="5" spans="1:16" ht="12.75" customHeight="1" x14ac:dyDescent="0.15">
      <c r="A5" s="4"/>
      <c r="B5" s="4"/>
      <c r="C5" s="4"/>
      <c r="D5" s="4"/>
      <c r="E5" s="4"/>
      <c r="F5" s="4"/>
      <c r="G5" s="4"/>
      <c r="H5" s="4"/>
      <c r="I5" s="4"/>
      <c r="J5" s="4"/>
      <c r="K5" s="4"/>
      <c r="L5" s="4"/>
      <c r="M5" s="4"/>
      <c r="N5" s="4"/>
      <c r="O5" s="4"/>
      <c r="P5" s="4"/>
    </row>
    <row r="6" spans="1:16" ht="6.75" customHeight="1" x14ac:dyDescent="0.15">
      <c r="A6" s="2"/>
      <c r="B6" s="5"/>
      <c r="C6" s="2"/>
      <c r="D6" s="2"/>
      <c r="E6" s="2"/>
      <c r="F6" s="2"/>
      <c r="G6" s="2"/>
      <c r="H6" s="2"/>
      <c r="I6" s="2"/>
      <c r="J6" s="2"/>
      <c r="K6" s="2"/>
      <c r="L6" s="2"/>
      <c r="M6" s="2"/>
      <c r="N6" s="2"/>
      <c r="O6" s="2"/>
      <c r="P6" s="2"/>
    </row>
    <row r="7" spans="1:16" ht="12.75" customHeight="1" x14ac:dyDescent="0.25">
      <c r="A7" s="6"/>
      <c r="B7" s="547"/>
      <c r="C7" s="547"/>
      <c r="D7" s="547"/>
      <c r="E7" s="547"/>
      <c r="F7" s="547"/>
      <c r="G7" s="547"/>
      <c r="H7" s="547"/>
      <c r="I7" s="547"/>
      <c r="J7" s="547"/>
      <c r="K7" s="547"/>
      <c r="L7" s="547"/>
      <c r="M7" s="547"/>
      <c r="N7" s="76"/>
      <c r="O7" s="76"/>
      <c r="P7" s="77"/>
    </row>
    <row r="8" spans="1:16" ht="12.75" customHeight="1" x14ac:dyDescent="0.25">
      <c r="A8" s="6"/>
      <c r="B8" s="547"/>
      <c r="C8" s="547"/>
      <c r="D8" s="547"/>
      <c r="E8" s="547"/>
      <c r="F8" s="547"/>
      <c r="G8" s="547"/>
      <c r="H8" s="547"/>
      <c r="I8" s="547"/>
      <c r="J8" s="547"/>
      <c r="K8" s="547"/>
      <c r="L8" s="547"/>
      <c r="M8" s="547"/>
      <c r="N8" s="76"/>
      <c r="O8" s="76"/>
      <c r="P8" s="78"/>
    </row>
    <row r="9" spans="1:16" ht="12.75" customHeight="1" x14ac:dyDescent="0.15">
      <c r="A9" s="6"/>
      <c r="B9" s="79"/>
      <c r="C9" s="544"/>
      <c r="D9" s="544"/>
      <c r="E9" s="544"/>
      <c r="F9" s="544"/>
      <c r="G9" s="544"/>
      <c r="H9" s="544"/>
      <c r="I9" s="544"/>
      <c r="J9" s="544"/>
      <c r="K9" s="544"/>
      <c r="L9" s="544"/>
      <c r="M9" s="544"/>
      <c r="N9" s="80"/>
      <c r="O9" s="80"/>
      <c r="P9" s="81"/>
    </row>
    <row r="10" spans="1:16" ht="12.75" customHeight="1" x14ac:dyDescent="0.15">
      <c r="A10" s="6"/>
      <c r="B10" s="79"/>
      <c r="C10" s="544"/>
      <c r="D10" s="544"/>
      <c r="E10" s="544"/>
      <c r="F10" s="544"/>
      <c r="G10" s="544"/>
      <c r="H10" s="544"/>
      <c r="I10" s="544"/>
      <c r="J10" s="544"/>
      <c r="K10" s="544"/>
      <c r="L10" s="544"/>
      <c r="M10" s="544"/>
      <c r="N10" s="80"/>
      <c r="O10" s="80"/>
      <c r="P10" s="81"/>
    </row>
    <row r="11" spans="1:16" ht="12.75" customHeight="1" x14ac:dyDescent="0.15">
      <c r="A11" s="6"/>
      <c r="B11" s="79"/>
      <c r="C11" s="544"/>
      <c r="D11" s="544"/>
      <c r="E11" s="544"/>
      <c r="F11" s="544"/>
      <c r="G11" s="544"/>
      <c r="H11" s="544"/>
      <c r="I11" s="544"/>
      <c r="J11" s="544"/>
      <c r="K11" s="544"/>
      <c r="L11" s="544"/>
      <c r="M11" s="544"/>
      <c r="N11" s="80"/>
      <c r="O11" s="80"/>
      <c r="P11" s="81"/>
    </row>
    <row r="12" spans="1:16" ht="12.75" customHeight="1" x14ac:dyDescent="0.15">
      <c r="A12" s="6"/>
      <c r="B12" s="79"/>
      <c r="C12" s="544"/>
      <c r="D12" s="544"/>
      <c r="E12" s="544"/>
      <c r="F12" s="544"/>
      <c r="G12" s="544"/>
      <c r="H12" s="544"/>
      <c r="I12" s="544"/>
      <c r="J12" s="544"/>
      <c r="K12" s="544"/>
      <c r="L12" s="544"/>
      <c r="M12" s="544"/>
      <c r="N12" s="80"/>
      <c r="O12" s="80"/>
      <c r="P12" s="81"/>
    </row>
    <row r="13" spans="1:16" ht="12.75" customHeight="1" x14ac:dyDescent="0.15">
      <c r="A13" s="6"/>
      <c r="B13" s="79"/>
      <c r="C13" s="544"/>
      <c r="D13" s="544"/>
      <c r="E13" s="544"/>
      <c r="F13" s="544"/>
      <c r="G13" s="544"/>
      <c r="H13" s="544"/>
      <c r="I13" s="544"/>
      <c r="J13" s="544"/>
      <c r="K13" s="544"/>
      <c r="L13" s="544"/>
      <c r="M13" s="544"/>
      <c r="N13" s="80"/>
      <c r="O13" s="80"/>
      <c r="P13" s="81"/>
    </row>
    <row r="14" spans="1:16" ht="12.75" customHeight="1" x14ac:dyDescent="0.15">
      <c r="A14" s="6"/>
      <c r="B14" s="79"/>
      <c r="C14" s="548"/>
      <c r="D14" s="548"/>
      <c r="E14" s="548"/>
      <c r="F14" s="548"/>
      <c r="G14" s="548"/>
      <c r="H14" s="548"/>
      <c r="I14" s="548"/>
      <c r="J14" s="548"/>
      <c r="K14" s="548"/>
      <c r="L14" s="548"/>
      <c r="M14" s="548"/>
      <c r="N14" s="82"/>
      <c r="O14" s="82"/>
      <c r="P14" s="78"/>
    </row>
    <row r="15" spans="1:16" ht="9.75" customHeight="1" x14ac:dyDescent="0.3">
      <c r="A15" s="6"/>
      <c r="B15" s="83"/>
      <c r="C15" s="6"/>
      <c r="D15" s="6"/>
      <c r="E15" s="6"/>
      <c r="F15" s="6"/>
      <c r="G15" s="6"/>
      <c r="H15" s="6"/>
      <c r="I15" s="6"/>
      <c r="J15" s="6"/>
      <c r="K15" s="84"/>
      <c r="L15" s="84"/>
      <c r="M15" s="6"/>
      <c r="N15" s="6"/>
      <c r="O15" s="6"/>
      <c r="P15" s="6"/>
    </row>
    <row r="16" spans="1:16" ht="18" x14ac:dyDescent="0.25">
      <c r="A16" s="6"/>
      <c r="B16" s="549"/>
      <c r="C16" s="549"/>
      <c r="D16" s="549"/>
      <c r="E16" s="549"/>
      <c r="F16" s="549"/>
      <c r="G16" s="549"/>
      <c r="H16" s="549"/>
      <c r="I16" s="549"/>
      <c r="J16" s="549"/>
      <c r="K16" s="6"/>
      <c r="L16" s="85"/>
      <c r="M16" s="6"/>
      <c r="N16" s="6"/>
      <c r="O16" s="6"/>
      <c r="P16" s="85"/>
    </row>
    <row r="17" spans="1:16" ht="12.75" customHeight="1" x14ac:dyDescent="0.15">
      <c r="A17" s="6"/>
      <c r="B17" s="79"/>
      <c r="C17" s="548"/>
      <c r="D17" s="548"/>
      <c r="E17" s="548"/>
      <c r="F17" s="548"/>
      <c r="G17" s="82"/>
      <c r="H17" s="550"/>
      <c r="I17" s="550"/>
      <c r="J17" s="77"/>
      <c r="K17" s="6"/>
      <c r="L17" s="551"/>
      <c r="M17" s="552"/>
      <c r="N17" s="552"/>
      <c r="O17" s="552"/>
      <c r="P17" s="552"/>
    </row>
    <row r="18" spans="1:16" ht="12.75" customHeight="1" x14ac:dyDescent="0.15">
      <c r="A18" s="6"/>
      <c r="B18" s="79"/>
      <c r="C18" s="544"/>
      <c r="D18" s="544"/>
      <c r="E18" s="544"/>
      <c r="F18" s="544"/>
      <c r="G18" s="80"/>
      <c r="H18" s="551"/>
      <c r="I18" s="551"/>
      <c r="J18" s="77"/>
      <c r="K18" s="6"/>
      <c r="L18" s="551"/>
      <c r="M18" s="552"/>
      <c r="N18" s="552"/>
      <c r="O18" s="552"/>
      <c r="P18" s="552"/>
    </row>
    <row r="19" spans="1:16" ht="12.75" customHeight="1" x14ac:dyDescent="0.15">
      <c r="A19" s="6"/>
      <c r="B19" s="79"/>
      <c r="C19" s="548"/>
      <c r="D19" s="548"/>
      <c r="E19" s="548"/>
      <c r="F19" s="548"/>
      <c r="G19" s="82"/>
      <c r="H19" s="553"/>
      <c r="I19" s="553"/>
      <c r="J19" s="86"/>
      <c r="K19" s="87"/>
      <c r="L19" s="553"/>
      <c r="M19" s="554"/>
      <c r="N19" s="554"/>
      <c r="O19" s="554"/>
      <c r="P19" s="554"/>
    </row>
    <row r="20" spans="1:16" ht="12.75" customHeight="1" x14ac:dyDescent="0.15">
      <c r="A20" s="6"/>
      <c r="B20" s="79"/>
      <c r="C20" s="548"/>
      <c r="D20" s="548"/>
      <c r="E20" s="548"/>
      <c r="F20" s="548"/>
      <c r="G20" s="82"/>
      <c r="H20" s="553"/>
      <c r="I20" s="553"/>
      <c r="J20" s="86"/>
      <c r="K20" s="87"/>
      <c r="L20" s="553"/>
      <c r="M20" s="554"/>
      <c r="N20" s="554"/>
      <c r="O20" s="554"/>
      <c r="P20" s="554"/>
    </row>
    <row r="21" spans="1:16" ht="12" customHeight="1" x14ac:dyDescent="0.2">
      <c r="A21" s="6"/>
      <c r="B21" s="88"/>
      <c r="C21" s="77"/>
      <c r="D21" s="70"/>
      <c r="E21" s="89" t="s">
        <v>112</v>
      </c>
      <c r="F21" s="90"/>
      <c r="G21" s="90"/>
      <c r="H21" s="70"/>
      <c r="I21" s="91" t="s">
        <v>113</v>
      </c>
      <c r="J21" s="90"/>
      <c r="K21" s="90"/>
      <c r="L21" s="70"/>
      <c r="M21" s="90"/>
      <c r="N21" s="90"/>
      <c r="O21" s="91"/>
      <c r="P21" s="86"/>
    </row>
    <row r="22" spans="1:16" ht="34.35" customHeight="1" x14ac:dyDescent="0.15">
      <c r="A22" s="6"/>
      <c r="B22" s="79"/>
      <c r="C22" s="77"/>
      <c r="D22" s="70"/>
      <c r="E22" s="555" t="s">
        <v>116</v>
      </c>
      <c r="F22" s="555"/>
      <c r="G22" s="555"/>
      <c r="H22" s="70"/>
      <c r="I22" s="556" t="s">
        <v>114</v>
      </c>
      <c r="J22" s="556"/>
      <c r="K22" s="556"/>
      <c r="L22" s="556"/>
      <c r="M22" s="556"/>
      <c r="N22" s="92"/>
      <c r="O22" s="555"/>
      <c r="P22" s="555"/>
    </row>
    <row r="23" spans="1:16" ht="31.5" customHeight="1" x14ac:dyDescent="0.15">
      <c r="A23" s="6"/>
      <c r="B23" s="79"/>
      <c r="C23" s="77"/>
      <c r="D23" s="70"/>
      <c r="E23" s="555" t="s">
        <v>117</v>
      </c>
      <c r="F23" s="555"/>
      <c r="G23" s="555"/>
      <c r="H23" s="70"/>
      <c r="I23" s="556" t="s">
        <v>115</v>
      </c>
      <c r="J23" s="556"/>
      <c r="K23" s="556"/>
      <c r="L23" s="556"/>
      <c r="M23" s="556"/>
      <c r="N23" s="93"/>
      <c r="O23" s="555"/>
      <c r="P23" s="555"/>
    </row>
    <row r="24" spans="1:16" ht="42" customHeight="1" x14ac:dyDescent="0.15">
      <c r="A24" s="6"/>
      <c r="B24" s="79"/>
      <c r="C24" s="77"/>
      <c r="D24" s="70"/>
      <c r="E24" s="555" t="s">
        <v>360</v>
      </c>
      <c r="F24" s="555"/>
      <c r="G24" s="555"/>
      <c r="H24" s="70"/>
      <c r="I24" s="556"/>
      <c r="J24" s="556"/>
      <c r="K24" s="556"/>
      <c r="L24" s="556"/>
      <c r="M24" s="556"/>
      <c r="N24" s="93"/>
      <c r="O24" s="555"/>
      <c r="P24" s="555"/>
    </row>
    <row r="25" spans="1:16" ht="53.25" customHeight="1" x14ac:dyDescent="0.15">
      <c r="A25" s="6"/>
      <c r="B25" s="79"/>
      <c r="C25" s="77"/>
      <c r="D25" s="70"/>
      <c r="E25" s="557" t="s">
        <v>382</v>
      </c>
      <c r="F25" s="555"/>
      <c r="G25" s="555"/>
      <c r="H25" s="2"/>
      <c r="I25" s="77"/>
      <c r="J25" s="77"/>
      <c r="K25" s="77"/>
      <c r="L25" s="77"/>
      <c r="M25" s="77"/>
      <c r="N25" s="77"/>
      <c r="O25" s="77"/>
      <c r="P25" s="77"/>
    </row>
    <row r="26" spans="1:16" ht="12.75" customHeight="1" x14ac:dyDescent="0.15">
      <c r="A26" s="6"/>
      <c r="B26" s="6"/>
      <c r="C26" s="77"/>
      <c r="D26" s="77"/>
      <c r="E26" s="77"/>
      <c r="F26" s="77"/>
      <c r="G26" s="77"/>
      <c r="H26" s="77"/>
      <c r="I26" s="77"/>
      <c r="J26" s="77"/>
      <c r="K26" s="77"/>
      <c r="L26" s="77"/>
      <c r="M26" s="77"/>
      <c r="N26" s="77"/>
      <c r="O26" s="77"/>
      <c r="P26" s="77"/>
    </row>
    <row r="27" spans="1:16" ht="18.75" customHeight="1" x14ac:dyDescent="0.15">
      <c r="A27" s="6"/>
      <c r="B27" s="94"/>
      <c r="C27" s="77"/>
      <c r="D27" s="77"/>
      <c r="E27" s="77"/>
      <c r="F27" s="77"/>
      <c r="G27" s="77"/>
      <c r="H27" s="77"/>
      <c r="I27" s="77"/>
      <c r="J27" s="77"/>
      <c r="K27" s="77"/>
      <c r="L27" s="77"/>
      <c r="M27" s="77"/>
      <c r="N27" s="77"/>
      <c r="O27" s="77"/>
      <c r="P27" s="77"/>
    </row>
    <row r="28" spans="1:16" ht="6" customHeight="1" x14ac:dyDescent="0.15">
      <c r="A28" s="6"/>
      <c r="B28" s="95"/>
      <c r="C28" s="77"/>
      <c r="D28" s="77"/>
      <c r="E28" s="77"/>
      <c r="F28" s="77"/>
      <c r="G28" s="77"/>
      <c r="H28" s="77"/>
      <c r="I28" s="77"/>
      <c r="J28" s="77"/>
      <c r="K28" s="77"/>
      <c r="L28" s="77"/>
      <c r="M28" s="77"/>
      <c r="N28" s="77"/>
      <c r="O28" s="77"/>
      <c r="P28" s="77"/>
    </row>
    <row r="29" spans="1:16" ht="12.75" customHeight="1" x14ac:dyDescent="0.15">
      <c r="A29" s="6"/>
      <c r="B29" s="95"/>
      <c r="C29" s="77"/>
      <c r="D29" s="77"/>
      <c r="E29" s="77"/>
      <c r="F29" s="77"/>
      <c r="G29" s="77"/>
      <c r="H29" s="77"/>
      <c r="I29" s="77"/>
      <c r="J29" s="77"/>
      <c r="K29" s="77"/>
      <c r="L29" s="77"/>
      <c r="M29" s="77"/>
      <c r="N29" s="77"/>
      <c r="O29" s="77"/>
      <c r="P29" s="77"/>
    </row>
    <row r="30" spans="1:16" ht="15" customHeight="1" x14ac:dyDescent="0.15">
      <c r="A30" s="6"/>
      <c r="B30" s="82"/>
      <c r="C30" s="77"/>
      <c r="D30" s="77"/>
      <c r="E30" s="77"/>
      <c r="F30" s="77"/>
      <c r="G30" s="77"/>
      <c r="H30" s="77"/>
      <c r="I30" s="77"/>
      <c r="J30" s="77"/>
      <c r="K30" s="77"/>
      <c r="L30" s="77"/>
      <c r="M30" s="77"/>
      <c r="N30" s="77"/>
      <c r="O30" s="77"/>
      <c r="P30" s="77"/>
    </row>
    <row r="31" spans="1:16" ht="12.75" customHeight="1" x14ac:dyDescent="0.15">
      <c r="A31" s="6"/>
      <c r="B31" s="558"/>
      <c r="C31" s="558"/>
      <c r="D31" s="558"/>
      <c r="E31" s="558"/>
      <c r="F31" s="558"/>
      <c r="G31" s="96"/>
      <c r="H31" s="96"/>
      <c r="I31" s="559"/>
      <c r="J31" s="558"/>
      <c r="K31" s="6"/>
      <c r="L31" s="551"/>
      <c r="M31" s="560"/>
      <c r="N31" s="560"/>
      <c r="O31" s="560"/>
      <c r="P31" s="560"/>
    </row>
    <row r="32" spans="1:16" ht="15" customHeight="1" x14ac:dyDescent="0.15">
      <c r="A32" s="6"/>
      <c r="B32" s="558"/>
      <c r="C32" s="558"/>
      <c r="D32" s="558"/>
      <c r="E32" s="558"/>
      <c r="F32" s="558"/>
      <c r="G32" s="96"/>
      <c r="H32" s="96"/>
      <c r="I32" s="559"/>
      <c r="J32" s="558"/>
      <c r="K32" s="6"/>
      <c r="L32" s="551"/>
      <c r="M32" s="560"/>
      <c r="N32" s="560"/>
      <c r="O32" s="560"/>
      <c r="P32" s="560"/>
    </row>
    <row r="33" spans="1:16" ht="18.75" customHeight="1" x14ac:dyDescent="0.15">
      <c r="A33" s="6"/>
      <c r="B33" s="6"/>
      <c r="C33" s="6"/>
      <c r="D33" s="6"/>
      <c r="E33" s="6"/>
      <c r="F33" s="6"/>
      <c r="G33" s="6"/>
      <c r="H33" s="6"/>
      <c r="I33" s="6"/>
      <c r="J33" s="6"/>
      <c r="K33" s="6"/>
      <c r="L33" s="6"/>
      <c r="M33" s="6"/>
      <c r="N33" s="6"/>
      <c r="O33" s="6"/>
      <c r="P33" s="6"/>
    </row>
    <row r="34" spans="1:16" ht="12.75" customHeight="1" x14ac:dyDescent="0.15">
      <c r="A34" s="2"/>
      <c r="B34" s="2"/>
      <c r="C34" s="2"/>
      <c r="D34" s="2"/>
      <c r="E34" s="2"/>
      <c r="F34" s="2"/>
      <c r="G34" s="2"/>
      <c r="H34" s="2"/>
      <c r="I34" s="2"/>
      <c r="J34" s="2"/>
      <c r="K34" s="2"/>
      <c r="L34" s="2"/>
      <c r="M34" s="2"/>
      <c r="N34" s="2"/>
      <c r="O34" s="2"/>
      <c r="P34" s="2"/>
    </row>
    <row r="35" spans="1:16" ht="12.75" customHeight="1" x14ac:dyDescent="0.15">
      <c r="A35" s="2"/>
      <c r="B35" s="2"/>
      <c r="C35" s="2"/>
      <c r="D35" s="2"/>
      <c r="E35" s="2"/>
      <c r="F35" s="2"/>
      <c r="G35" s="2"/>
      <c r="H35" s="2"/>
      <c r="I35" s="2"/>
      <c r="J35" s="2"/>
      <c r="K35" s="2"/>
      <c r="L35" s="2"/>
      <c r="M35" s="2"/>
      <c r="N35" s="2"/>
      <c r="O35" s="2"/>
      <c r="P35" s="2"/>
    </row>
    <row r="36" spans="1:16" ht="12.75" customHeight="1" x14ac:dyDescent="0.15">
      <c r="A36" s="2"/>
      <c r="B36" s="2"/>
      <c r="C36" s="2"/>
      <c r="D36" s="2"/>
      <c r="E36" s="2"/>
      <c r="F36" s="2"/>
      <c r="G36" s="2"/>
      <c r="H36" s="2"/>
      <c r="I36" s="2"/>
      <c r="J36" s="2"/>
      <c r="K36" s="2"/>
      <c r="L36" s="2"/>
      <c r="M36" s="2"/>
      <c r="N36" s="2"/>
      <c r="O36" s="2"/>
      <c r="P36" s="2"/>
    </row>
    <row r="37" spans="1:16" ht="12.75" customHeight="1" x14ac:dyDescent="0.15">
      <c r="A37" s="2"/>
      <c r="B37" s="2"/>
      <c r="C37" s="2"/>
      <c r="D37" s="2"/>
      <c r="E37" s="2"/>
      <c r="F37" s="2"/>
      <c r="G37" s="2"/>
      <c r="H37" s="2"/>
      <c r="I37" s="2"/>
      <c r="J37" s="2"/>
      <c r="K37" s="2"/>
      <c r="L37" s="2"/>
      <c r="M37" s="2"/>
      <c r="N37" s="2"/>
      <c r="O37" s="2"/>
      <c r="P37" s="2"/>
    </row>
    <row r="38" spans="1:16" ht="12.75" customHeight="1" x14ac:dyDescent="0.15">
      <c r="A38" s="2"/>
      <c r="B38" s="2"/>
      <c r="C38" s="2"/>
      <c r="D38" s="2"/>
      <c r="E38" s="2"/>
      <c r="F38" s="2"/>
      <c r="G38" s="2"/>
      <c r="H38" s="2"/>
      <c r="I38" s="2"/>
      <c r="J38" s="2"/>
      <c r="K38" s="2"/>
      <c r="L38" s="2"/>
      <c r="M38" s="2"/>
      <c r="N38" s="2"/>
      <c r="O38" s="2"/>
      <c r="P38" s="2"/>
    </row>
  </sheetData>
  <sheetProtection algorithmName="SHA-512" hashValue="LssfP0rHRJxIuUQBgJUiyOGscqt9961w1ggBcbL+6EJbGXOgJ1zRRBkBSyE9QUJmuvdO6oTULeOO/MMsZtDUqA==" saltValue="aIzm0COl1CHr2EZMYlbjag==" spinCount="100000" sheet="1" selectLockedCells="1" selectUnlockedCells="1"/>
  <mergeCells count="37">
    <mergeCell ref="E24:G24"/>
    <mergeCell ref="I24:M24"/>
    <mergeCell ref="O24:P24"/>
    <mergeCell ref="E25:G25"/>
    <mergeCell ref="B31:F32"/>
    <mergeCell ref="I31:I32"/>
    <mergeCell ref="J31:J32"/>
    <mergeCell ref="L31:L32"/>
    <mergeCell ref="M31:P32"/>
    <mergeCell ref="E22:G22"/>
    <mergeCell ref="I22:M22"/>
    <mergeCell ref="O22:P22"/>
    <mergeCell ref="E23:G23"/>
    <mergeCell ref="I23:M23"/>
    <mergeCell ref="O23:P23"/>
    <mergeCell ref="C19:F19"/>
    <mergeCell ref="H19:I19"/>
    <mergeCell ref="L19:L20"/>
    <mergeCell ref="M19:P20"/>
    <mergeCell ref="C20:F20"/>
    <mergeCell ref="H20:I20"/>
    <mergeCell ref="C12:M12"/>
    <mergeCell ref="C13:M13"/>
    <mergeCell ref="C14:M14"/>
    <mergeCell ref="B16:J16"/>
    <mergeCell ref="C17:F17"/>
    <mergeCell ref="H17:I17"/>
    <mergeCell ref="L17:L18"/>
    <mergeCell ref="M17:P18"/>
    <mergeCell ref="C18:F18"/>
    <mergeCell ref="H18:I18"/>
    <mergeCell ref="C11:M11"/>
    <mergeCell ref="B2:G3"/>
    <mergeCell ref="I2:N3"/>
    <mergeCell ref="B7:M8"/>
    <mergeCell ref="C9:M9"/>
    <mergeCell ref="C10:M10"/>
  </mergeCells>
  <conditionalFormatting sqref="K15:L15">
    <cfRule type="iconSet" priority="1">
      <iconSet iconSet="3Symbols2">
        <cfvo type="percent" val="0"/>
        <cfvo type="percent" val="33"/>
        <cfvo type="percent" val="67"/>
      </iconSet>
    </cfRule>
  </conditionalFormatting>
  <dataValidations count="1">
    <dataValidation type="list" allowBlank="1" showInputMessage="1" showErrorMessage="1" sqref="H18:H20">
      <formula1>#REF!</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3:T45"/>
  <sheetViews>
    <sheetView workbookViewId="0">
      <selection activeCell="J24" sqref="J24"/>
    </sheetView>
  </sheetViews>
  <sheetFormatPr defaultRowHeight="15" x14ac:dyDescent="0.25"/>
  <cols>
    <col min="2" max="2" width="33" bestFit="1" customWidth="1"/>
    <col min="3" max="3" width="16.140625" customWidth="1"/>
    <col min="4" max="4" width="12.42578125" bestFit="1" customWidth="1"/>
    <col min="5" max="5" width="7.85546875" bestFit="1" customWidth="1"/>
    <col min="8" max="8" width="34.42578125" bestFit="1" customWidth="1"/>
    <col min="9" max="9" width="13.42578125" bestFit="1" customWidth="1"/>
    <col min="10" max="10" width="12.42578125" bestFit="1" customWidth="1"/>
    <col min="13" max="13" width="13.85546875" bestFit="1" customWidth="1"/>
    <col min="14" max="14" width="33.140625" bestFit="1" customWidth="1"/>
    <col min="15" max="15" width="15" bestFit="1" customWidth="1"/>
    <col min="16" max="16" width="11.7109375" bestFit="1" customWidth="1"/>
    <col min="17" max="17" width="19.140625" bestFit="1" customWidth="1"/>
  </cols>
  <sheetData>
    <row r="3" spans="2:19" x14ac:dyDescent="0.25">
      <c r="B3" t="s">
        <v>368</v>
      </c>
      <c r="H3" t="s">
        <v>369</v>
      </c>
    </row>
    <row r="4" spans="2:19" x14ac:dyDescent="0.25">
      <c r="B4" t="s">
        <v>157</v>
      </c>
      <c r="H4" t="s">
        <v>158</v>
      </c>
    </row>
    <row r="5" spans="2:19" ht="15.75" thickBot="1" x14ac:dyDescent="0.3">
      <c r="B5" t="s">
        <v>165</v>
      </c>
      <c r="C5">
        <v>1</v>
      </c>
      <c r="D5">
        <v>2</v>
      </c>
      <c r="E5">
        <v>3</v>
      </c>
      <c r="H5" t="s">
        <v>165</v>
      </c>
      <c r="I5">
        <v>1</v>
      </c>
      <c r="J5">
        <v>2</v>
      </c>
      <c r="K5">
        <v>3</v>
      </c>
      <c r="N5" s="685" t="s">
        <v>49</v>
      </c>
      <c r="O5" s="686"/>
      <c r="P5" s="119"/>
      <c r="Q5" s="266" t="s">
        <v>28</v>
      </c>
      <c r="R5" s="267"/>
      <c r="S5" s="268"/>
    </row>
    <row r="6" spans="2:19" ht="15.75" thickBot="1" x14ac:dyDescent="0.3">
      <c r="B6" s="216" t="s">
        <v>147</v>
      </c>
      <c r="C6" s="217" t="s">
        <v>148</v>
      </c>
      <c r="D6" s="218" t="s">
        <v>149</v>
      </c>
      <c r="E6" s="217" t="s">
        <v>150</v>
      </c>
      <c r="H6" s="216" t="s">
        <v>147</v>
      </c>
      <c r="I6" s="217" t="s">
        <v>148</v>
      </c>
      <c r="J6" s="218" t="s">
        <v>149</v>
      </c>
      <c r="K6" s="217" t="s">
        <v>150</v>
      </c>
      <c r="M6" s="7">
        <f>'Forbrugsberegner 2'!A64</f>
        <v>0</v>
      </c>
      <c r="N6" s="120" t="s">
        <v>0</v>
      </c>
      <c r="O6" s="121" t="e">
        <f>VLOOKUP(M6,Q31:S41,2,FALSE)</f>
        <v>#N/A</v>
      </c>
      <c r="P6" s="123"/>
      <c r="Q6" s="21" t="s">
        <v>29</v>
      </c>
      <c r="R6" s="21">
        <v>11</v>
      </c>
      <c r="S6" s="22" t="s">
        <v>30</v>
      </c>
    </row>
    <row r="7" spans="2:19" ht="15.75" thickBot="1" x14ac:dyDescent="0.3">
      <c r="B7" s="219" t="s">
        <v>151</v>
      </c>
      <c r="C7" s="220">
        <v>120</v>
      </c>
      <c r="D7" s="221">
        <v>97</v>
      </c>
      <c r="E7" s="222">
        <v>66</v>
      </c>
      <c r="H7" s="219" t="s">
        <v>151</v>
      </c>
      <c r="I7" s="220">
        <v>100</v>
      </c>
      <c r="J7" s="221">
        <v>81</v>
      </c>
      <c r="K7" s="222">
        <v>55</v>
      </c>
      <c r="N7" s="120" t="s">
        <v>35</v>
      </c>
      <c r="O7" s="121" t="e">
        <f>INDEX(R6:R13,MATCH(O6,Q6:Q13,0))</f>
        <v>#N/A</v>
      </c>
      <c r="P7" s="123" t="e">
        <f>IF(O6="Olie","kWh/Liter",IF(O6="Naturgas","kWh/Nm3","kWh/Kg"))</f>
        <v>#N/A</v>
      </c>
      <c r="Q7" s="21" t="s">
        <v>204</v>
      </c>
      <c r="R7" s="21">
        <v>9.8699999999999992</v>
      </c>
      <c r="S7" s="22" t="s">
        <v>32</v>
      </c>
    </row>
    <row r="8" spans="2:19" ht="15.75" thickBot="1" x14ac:dyDescent="0.3">
      <c r="B8" s="219" t="s">
        <v>152</v>
      </c>
      <c r="C8" s="220">
        <v>120</v>
      </c>
      <c r="D8" s="221">
        <v>97</v>
      </c>
      <c r="E8" s="222">
        <v>66</v>
      </c>
      <c r="H8" s="219" t="s">
        <v>152</v>
      </c>
      <c r="I8" s="220">
        <v>100</v>
      </c>
      <c r="J8" s="221">
        <v>81</v>
      </c>
      <c r="K8" s="222">
        <v>55</v>
      </c>
      <c r="N8" s="120"/>
      <c r="O8" s="121"/>
      <c r="P8" s="123"/>
      <c r="Q8" s="21" t="s">
        <v>205</v>
      </c>
      <c r="R8" s="454">
        <v>3.83</v>
      </c>
      <c r="S8" s="22" t="s">
        <v>33</v>
      </c>
    </row>
    <row r="9" spans="2:19" ht="15.75" thickBot="1" x14ac:dyDescent="0.3">
      <c r="B9" s="219" t="s">
        <v>153</v>
      </c>
      <c r="C9" s="220">
        <v>226</v>
      </c>
      <c r="D9" s="221">
        <v>195</v>
      </c>
      <c r="E9" s="222">
        <v>123</v>
      </c>
      <c r="H9" s="219" t="s">
        <v>153</v>
      </c>
      <c r="I9" s="220">
        <v>163</v>
      </c>
      <c r="J9" s="221">
        <v>140</v>
      </c>
      <c r="K9" s="222">
        <v>89</v>
      </c>
      <c r="N9" s="120" t="s">
        <v>36</v>
      </c>
      <c r="O9" s="121" t="e">
        <f>I21</f>
        <v>#N/A</v>
      </c>
      <c r="P9" s="123" t="e">
        <f>IF(O6="Olie","Liter",IF(O6="Naturgas","Nm3","Kg"))</f>
        <v>#N/A</v>
      </c>
      <c r="Q9" s="21" t="s">
        <v>6</v>
      </c>
      <c r="R9" s="454">
        <v>4.67</v>
      </c>
      <c r="S9" s="22" t="s">
        <v>33</v>
      </c>
    </row>
    <row r="10" spans="2:19" ht="15.75" thickBot="1" x14ac:dyDescent="0.3">
      <c r="B10" s="219" t="s">
        <v>154</v>
      </c>
      <c r="C10" s="220">
        <v>126</v>
      </c>
      <c r="D10" s="221">
        <v>105</v>
      </c>
      <c r="E10" s="222">
        <v>77</v>
      </c>
      <c r="H10" s="219" t="s">
        <v>154</v>
      </c>
      <c r="I10" s="220">
        <v>103</v>
      </c>
      <c r="J10" s="221">
        <v>86</v>
      </c>
      <c r="K10" s="222">
        <v>63</v>
      </c>
      <c r="N10" s="120"/>
      <c r="O10" s="121"/>
      <c r="P10" s="123"/>
      <c r="Q10" s="21" t="s">
        <v>121</v>
      </c>
      <c r="R10" s="113">
        <f>V18</f>
        <v>0</v>
      </c>
      <c r="S10" s="22" t="s">
        <v>33</v>
      </c>
    </row>
    <row r="11" spans="2:19" ht="15.75" thickBot="1" x14ac:dyDescent="0.3">
      <c r="B11" s="219" t="s">
        <v>155</v>
      </c>
      <c r="C11" s="220">
        <v>126</v>
      </c>
      <c r="D11" s="221">
        <v>105</v>
      </c>
      <c r="E11" s="222">
        <v>77</v>
      </c>
      <c r="H11" s="219" t="s">
        <v>155</v>
      </c>
      <c r="I11" s="220">
        <v>103</v>
      </c>
      <c r="J11" s="221">
        <v>86</v>
      </c>
      <c r="K11" s="222">
        <v>63</v>
      </c>
      <c r="N11" s="120" t="s">
        <v>39</v>
      </c>
      <c r="O11" s="121" t="e">
        <f>I20</f>
        <v>#N/A</v>
      </c>
      <c r="P11" s="123" t="s">
        <v>41</v>
      </c>
      <c r="Q11" s="21" t="s">
        <v>122</v>
      </c>
      <c r="R11" s="21">
        <v>7.92</v>
      </c>
      <c r="S11" s="22" t="s">
        <v>33</v>
      </c>
    </row>
    <row r="12" spans="2:19" ht="15.75" thickBot="1" x14ac:dyDescent="0.3">
      <c r="B12" s="219" t="s">
        <v>156</v>
      </c>
      <c r="C12" s="220">
        <v>207</v>
      </c>
      <c r="D12" s="221">
        <v>103</v>
      </c>
      <c r="E12" s="222">
        <v>82</v>
      </c>
      <c r="H12" s="219" t="s">
        <v>156</v>
      </c>
      <c r="I12" s="220">
        <v>145</v>
      </c>
      <c r="J12" s="221">
        <v>72</v>
      </c>
      <c r="K12" s="222">
        <v>57</v>
      </c>
      <c r="N12" s="120"/>
      <c r="O12" s="121"/>
      <c r="P12" s="123"/>
      <c r="Q12" s="21" t="s">
        <v>127</v>
      </c>
      <c r="R12" s="21">
        <v>10.89</v>
      </c>
      <c r="S12" s="22" t="s">
        <v>32</v>
      </c>
    </row>
    <row r="13" spans="2:19" x14ac:dyDescent="0.25">
      <c r="N13" s="124" t="s">
        <v>40</v>
      </c>
      <c r="O13" s="125" t="e">
        <f>I18</f>
        <v>#N/A</v>
      </c>
      <c r="P13" s="126" t="s">
        <v>41</v>
      </c>
      <c r="Q13" s="24" t="s">
        <v>5</v>
      </c>
      <c r="R13" s="114">
        <f>14.5*1000/3600</f>
        <v>4.0277777777777777</v>
      </c>
      <c r="S13" s="25" t="s">
        <v>33</v>
      </c>
    </row>
    <row r="14" spans="2:19" x14ac:dyDescent="0.25">
      <c r="B14" s="223" t="s">
        <v>163</v>
      </c>
      <c r="C14">
        <f>IF(C17&lt;1960.1,C5,IF(AND(C17&gt;1960,C17&lt;1978.1),2,IF(C17&gt;1978.9,3)))</f>
        <v>1</v>
      </c>
      <c r="H14" s="223" t="s">
        <v>163</v>
      </c>
      <c r="I14">
        <f>IF(I17&lt;1960.1,I5,IF(AND(I17&gt;1960,I17&lt;1978.1),2,IF(I17&gt;1978,3)))</f>
        <v>1</v>
      </c>
      <c r="N14" s="7"/>
      <c r="O14" s="7"/>
      <c r="P14" s="7"/>
    </row>
    <row r="15" spans="2:19" x14ac:dyDescent="0.25">
      <c r="B15" s="223" t="s">
        <v>164</v>
      </c>
      <c r="C15">
        <f>INDEX(C12:E12,MATCH(C14,C5:E5,0))</f>
        <v>207</v>
      </c>
      <c r="D15" t="s">
        <v>165</v>
      </c>
      <c r="H15" s="223" t="s">
        <v>164</v>
      </c>
      <c r="I15" t="e">
        <f>C30</f>
        <v>#N/A</v>
      </c>
      <c r="J15" t="s">
        <v>165</v>
      </c>
      <c r="N15" s="7"/>
      <c r="O15" s="7"/>
      <c r="P15" s="7"/>
      <c r="Q15" s="7"/>
      <c r="R15" s="7"/>
      <c r="S15" s="7"/>
    </row>
    <row r="16" spans="2:19" x14ac:dyDescent="0.25">
      <c r="B16" s="223" t="s">
        <v>159</v>
      </c>
      <c r="C16" s="59">
        <f>'Tiltag 1'!G30</f>
        <v>0</v>
      </c>
      <c r="D16" t="s">
        <v>161</v>
      </c>
      <c r="E16" t="s">
        <v>19</v>
      </c>
      <c r="H16" s="223" t="s">
        <v>207</v>
      </c>
      <c r="I16" s="59">
        <f>'Tiltag 2'!G19</f>
        <v>0</v>
      </c>
      <c r="J16" t="s">
        <v>161</v>
      </c>
      <c r="K16" t="s">
        <v>19</v>
      </c>
      <c r="N16" s="685" t="s">
        <v>48</v>
      </c>
      <c r="O16" s="686"/>
      <c r="P16" s="119"/>
      <c r="Q16" s="7"/>
      <c r="R16" s="7"/>
      <c r="S16" s="7"/>
    </row>
    <row r="17" spans="2:20" x14ac:dyDescent="0.25">
      <c r="B17" s="223" t="s">
        <v>162</v>
      </c>
      <c r="C17" s="224">
        <f>'Tiltag 1'!G29</f>
        <v>0</v>
      </c>
      <c r="E17" t="s">
        <v>20</v>
      </c>
      <c r="H17" s="223" t="s">
        <v>162</v>
      </c>
      <c r="I17" s="59">
        <f>'Tiltag 2'!G18</f>
        <v>0</v>
      </c>
      <c r="K17" t="s">
        <v>20</v>
      </c>
      <c r="M17">
        <f>'Tiltag 2'!G29</f>
        <v>0</v>
      </c>
      <c r="N17" s="120" t="s">
        <v>0</v>
      </c>
      <c r="O17" s="121" t="e">
        <f>VLOOKUP(M17,Q31:S43,2,FALSE)</f>
        <v>#N/A</v>
      </c>
      <c r="P17" s="123"/>
      <c r="Q17" s="7"/>
      <c r="R17" s="7"/>
      <c r="S17" s="7"/>
    </row>
    <row r="18" spans="2:20" x14ac:dyDescent="0.25">
      <c r="B18" s="223" t="s">
        <v>40</v>
      </c>
      <c r="C18" t="str">
        <f>IF(OR(C14="",C15&lt;0.1,C16&lt;=0.1,C17&lt;=0.1),"",C15*C16)</f>
        <v/>
      </c>
      <c r="D18" t="s">
        <v>41</v>
      </c>
      <c r="H18" s="223" t="s">
        <v>212</v>
      </c>
      <c r="I18" t="e">
        <f>IF(OR(I14="",I15&lt;0.1,I16&lt;=0.1,I17&lt;=0.1),"",I15*I16)</f>
        <v>#N/A</v>
      </c>
      <c r="J18" t="s">
        <v>41</v>
      </c>
      <c r="N18" s="120" t="s">
        <v>35</v>
      </c>
      <c r="O18" s="121" t="e">
        <f>IF(O17="Varmepumpe","",IF(O17="Fjernvarme","",IF(O17="Elkedel","",INDEX(R6:R19,MATCH(O17,Q6:Q19,0)))))</f>
        <v>#N/A</v>
      </c>
      <c r="P18" s="123" t="e">
        <f>IF(O17="Olie","kWh/Liter",IF(O17="Naturgas","kWh/Nm3","kWh/Kg"))</f>
        <v>#N/A</v>
      </c>
      <c r="Q18" s="117" t="s">
        <v>51</v>
      </c>
      <c r="R18" s="7">
        <v>1</v>
      </c>
      <c r="S18" s="7"/>
    </row>
    <row r="19" spans="2:20" x14ac:dyDescent="0.25">
      <c r="N19" s="120"/>
      <c r="O19" s="121"/>
      <c r="P19" s="123"/>
      <c r="Q19" s="117" t="s">
        <v>52</v>
      </c>
      <c r="R19" s="7">
        <v>1</v>
      </c>
      <c r="S19" s="7"/>
    </row>
    <row r="20" spans="2:20" x14ac:dyDescent="0.25">
      <c r="B20" s="223" t="s">
        <v>211</v>
      </c>
      <c r="F20" t="s">
        <v>174</v>
      </c>
      <c r="G20" s="242" t="e">
        <f>'Forbrugsberegner 1'!D14/100</f>
        <v>#N/A</v>
      </c>
      <c r="H20" s="223" t="s">
        <v>310</v>
      </c>
      <c r="I20" s="60" t="e">
        <f>I18/M20</f>
        <v>#N/A</v>
      </c>
      <c r="J20" t="s">
        <v>41</v>
      </c>
      <c r="L20" t="s">
        <v>174</v>
      </c>
      <c r="M20" s="230" t="e">
        <f>'Forbrugsberegner 2'!B16</f>
        <v>#N/A</v>
      </c>
      <c r="N20" s="120" t="s">
        <v>133</v>
      </c>
      <c r="O20" s="121" t="e">
        <f>O13</f>
        <v>#N/A</v>
      </c>
      <c r="P20" s="123" t="s">
        <v>41</v>
      </c>
      <c r="Q20" s="117" t="s">
        <v>118</v>
      </c>
      <c r="R20" s="7">
        <v>1</v>
      </c>
      <c r="S20" s="7"/>
    </row>
    <row r="21" spans="2:20" x14ac:dyDescent="0.25">
      <c r="B21" t="s">
        <v>370</v>
      </c>
      <c r="C21" s="60" t="e">
        <f>C18/G20</f>
        <v>#VALUE!</v>
      </c>
      <c r="H21" s="223" t="s">
        <v>311</v>
      </c>
      <c r="I21" s="62" t="e">
        <f>I20/O7</f>
        <v>#N/A</v>
      </c>
      <c r="N21" s="120"/>
      <c r="O21" s="121"/>
      <c r="P21" s="123"/>
      <c r="Q21" s="21" t="s">
        <v>29</v>
      </c>
      <c r="R21" s="7"/>
      <c r="S21" s="7"/>
    </row>
    <row r="22" spans="2:20" x14ac:dyDescent="0.25">
      <c r="H22" s="223" t="s">
        <v>214</v>
      </c>
      <c r="N22" s="120" t="s">
        <v>218</v>
      </c>
      <c r="O22" s="121" t="e">
        <f>IF(O17="Varmepumpe",O20/O26,IF(O17="Fjernvarme",O20,IF(O17="Elkedel",O20,O20/(O39/100))))</f>
        <v>#N/A</v>
      </c>
      <c r="P22" s="123" t="s">
        <v>41</v>
      </c>
      <c r="Q22" s="21" t="s">
        <v>126</v>
      </c>
      <c r="R22" s="7"/>
      <c r="S22" s="7"/>
    </row>
    <row r="23" spans="2:20" x14ac:dyDescent="0.25">
      <c r="B23" s="494" t="s">
        <v>367</v>
      </c>
      <c r="N23" s="120"/>
      <c r="O23" s="121"/>
      <c r="P23" s="123"/>
      <c r="Q23" s="21" t="s">
        <v>13</v>
      </c>
      <c r="R23" s="7"/>
      <c r="S23" s="7"/>
    </row>
    <row r="24" spans="2:20" x14ac:dyDescent="0.25">
      <c r="N24" s="120" t="s">
        <v>42</v>
      </c>
      <c r="O24" s="121" t="e">
        <f>IF(O17="Varmepumpe","",IF(O17="Fjernvarme","",IF(O17="Elkedel","",O22/O18)))</f>
        <v>#N/A</v>
      </c>
      <c r="P24" s="123" t="e">
        <f>IF(O17="Olie","Liter",IF(O17="Naturgas","Nm3","Kg"))</f>
        <v>#N/A</v>
      </c>
      <c r="Q24" s="21" t="s">
        <v>6</v>
      </c>
      <c r="R24" s="7"/>
      <c r="S24" s="7"/>
    </row>
    <row r="25" spans="2:20" x14ac:dyDescent="0.25">
      <c r="H25" s="223"/>
      <c r="N25" s="120"/>
      <c r="O25" s="121"/>
      <c r="P25" s="123"/>
      <c r="Q25" s="21" t="s">
        <v>5</v>
      </c>
      <c r="R25" s="7"/>
      <c r="S25" s="7"/>
    </row>
    <row r="26" spans="2:20" x14ac:dyDescent="0.25">
      <c r="N26" s="124" t="s">
        <v>53</v>
      </c>
      <c r="O26" s="125" t="e">
        <f>IF(O17="Fjernvarme","",'Tiltag 2'!G33)</f>
        <v>#N/A</v>
      </c>
      <c r="P26" s="126"/>
      <c r="Q26" s="118" t="s">
        <v>127</v>
      </c>
      <c r="R26" s="7"/>
      <c r="S26" s="7"/>
    </row>
    <row r="27" spans="2:20" x14ac:dyDescent="0.25">
      <c r="N27" s="7"/>
      <c r="O27" s="7"/>
      <c r="P27" s="7"/>
      <c r="Q27" s="21" t="s">
        <v>121</v>
      </c>
      <c r="R27" s="7"/>
      <c r="S27" s="7"/>
    </row>
    <row r="28" spans="2:20" x14ac:dyDescent="0.25">
      <c r="N28" s="685" t="s">
        <v>43</v>
      </c>
      <c r="O28" s="686"/>
      <c r="P28" s="119"/>
      <c r="Q28" s="21" t="s">
        <v>122</v>
      </c>
      <c r="R28" s="7"/>
      <c r="S28" s="7"/>
    </row>
    <row r="29" spans="2:20" x14ac:dyDescent="0.25">
      <c r="H29" s="223" t="s">
        <v>163</v>
      </c>
      <c r="I29" t="e">
        <f>IF(I32&lt;1960.1,C5,IF(AND(I32&gt;1960,I32&lt;1978.9),2,IF(I32&gt;1978,3)))</f>
        <v>#REF!</v>
      </c>
      <c r="N29" s="120" t="s">
        <v>46</v>
      </c>
      <c r="O29" s="121">
        <f>M6</f>
        <v>0</v>
      </c>
      <c r="P29" s="123"/>
      <c r="Q29" s="7"/>
      <c r="R29" s="7"/>
      <c r="S29" s="7"/>
    </row>
    <row r="30" spans="2:20" x14ac:dyDescent="0.25">
      <c r="B30" t="e">
        <f>VLOOKUP('Tiltag 2'!G23,Nøgletal!Q31:T43,4,FALSE)</f>
        <v>#N/A</v>
      </c>
      <c r="C30" t="e">
        <f>VLOOKUP(B30,B32:C33,2,FALSE)</f>
        <v>#N/A</v>
      </c>
      <c r="H30" s="223" t="s">
        <v>164</v>
      </c>
      <c r="I30" t="e">
        <f>INDEX(C12:E12,MATCH(I29,C5:E5,0))</f>
        <v>#REF!</v>
      </c>
      <c r="J30" t="s">
        <v>165</v>
      </c>
      <c r="N30" s="120" t="s">
        <v>35</v>
      </c>
      <c r="O30" s="121" t="e">
        <f>INDEX(R6:R12,MATCH(O6,Q6:Q12,0))</f>
        <v>#N/A</v>
      </c>
      <c r="P30" s="123" t="str">
        <f>IF(O29="Fyringsolie","kWh/Liter",IF(O29="Naturgas","kWh/Nm3","kWh/Kg"))</f>
        <v>kWh/Kg</v>
      </c>
      <c r="Q30" s="261" t="s">
        <v>202</v>
      </c>
      <c r="R30" s="7" t="s">
        <v>203</v>
      </c>
      <c r="S30" s="7"/>
    </row>
    <row r="31" spans="2:20" x14ac:dyDescent="0.25">
      <c r="H31" s="223" t="s">
        <v>159</v>
      </c>
      <c r="I31" s="59" t="e">
        <f>'Tiltag 2'!#REF!</f>
        <v>#REF!</v>
      </c>
      <c r="J31" t="s">
        <v>161</v>
      </c>
      <c r="K31" t="s">
        <v>19</v>
      </c>
      <c r="N31" s="120"/>
      <c r="O31" s="121"/>
      <c r="P31" s="123"/>
      <c r="Q31" s="7" t="s">
        <v>194</v>
      </c>
      <c r="R31" s="7" t="s">
        <v>29</v>
      </c>
      <c r="S31" s="7" t="s">
        <v>29</v>
      </c>
      <c r="T31" s="273" t="s">
        <v>217</v>
      </c>
    </row>
    <row r="32" spans="2:20" x14ac:dyDescent="0.25">
      <c r="B32" t="s">
        <v>217</v>
      </c>
      <c r="C32" t="e">
        <f>INDEX(C7:E12,MATCH('Tiltag 2'!G20,B7:B12,0),MATCH(I14,C5:E5,0))</f>
        <v>#N/A</v>
      </c>
      <c r="H32" s="223" t="s">
        <v>162</v>
      </c>
      <c r="I32" s="59" t="e">
        <f>'Tiltag 2'!#REF!</f>
        <v>#REF!</v>
      </c>
      <c r="K32" t="s">
        <v>20</v>
      </c>
      <c r="N32" s="120" t="s">
        <v>1</v>
      </c>
      <c r="O32" s="121">
        <f>'Tiltag 2'!G25</f>
        <v>0</v>
      </c>
      <c r="P32" s="123" t="s">
        <v>22</v>
      </c>
      <c r="Q32" s="7" t="s">
        <v>195</v>
      </c>
      <c r="R32" s="7" t="s">
        <v>204</v>
      </c>
      <c r="S32" s="7" t="s">
        <v>14</v>
      </c>
      <c r="T32" s="273" t="s">
        <v>217</v>
      </c>
    </row>
    <row r="33" spans="2:20" x14ac:dyDescent="0.25">
      <c r="B33" t="s">
        <v>371</v>
      </c>
      <c r="C33" t="e">
        <f>INDEX(I7:K12,MATCH('Tiltag 2'!G20,H7:H12,0),MATCH(I14,I5:K5,0))</f>
        <v>#N/A</v>
      </c>
      <c r="H33" s="223" t="s">
        <v>40</v>
      </c>
      <c r="I33" t="e">
        <f>IF('Tiltag 2'!#REF!="Nej",0,IF(OR(I29="",I30&lt;0.1,I31&lt;=0.1,I32&lt;=0.1),0,I30*I31))</f>
        <v>#REF!</v>
      </c>
      <c r="J33" t="s">
        <v>41</v>
      </c>
      <c r="N33" s="120" t="s">
        <v>136</v>
      </c>
      <c r="O33" s="121">
        <f>O32*8760</f>
        <v>0</v>
      </c>
      <c r="P33" s="123" t="s">
        <v>41</v>
      </c>
      <c r="Q33" s="7" t="s">
        <v>196</v>
      </c>
      <c r="R33" s="7" t="s">
        <v>205</v>
      </c>
      <c r="S33" s="7" t="s">
        <v>13</v>
      </c>
      <c r="T33" s="273" t="s">
        <v>217</v>
      </c>
    </row>
    <row r="34" spans="2:20" x14ac:dyDescent="0.25">
      <c r="N34" s="124" t="s">
        <v>137</v>
      </c>
      <c r="O34" s="125" t="e">
        <f>O33/O30</f>
        <v>#N/A</v>
      </c>
      <c r="P34" s="126" t="str">
        <f>IF(O29="Fyringsolie","Liter",IF(O29="Naturgas","Nm3","Kg"))</f>
        <v>Kg</v>
      </c>
      <c r="Q34" s="7" t="s">
        <v>197</v>
      </c>
      <c r="R34" s="7" t="s">
        <v>6</v>
      </c>
      <c r="S34" s="7" t="s">
        <v>6</v>
      </c>
      <c r="T34" s="273" t="s">
        <v>217</v>
      </c>
    </row>
    <row r="35" spans="2:20" x14ac:dyDescent="0.25">
      <c r="H35" s="223" t="s">
        <v>215</v>
      </c>
      <c r="I35" t="e">
        <f>I18-I33</f>
        <v>#N/A</v>
      </c>
      <c r="N35" s="7"/>
      <c r="O35" s="7"/>
      <c r="P35" s="7"/>
      <c r="Q35" s="7" t="s">
        <v>198</v>
      </c>
      <c r="R35" s="7" t="s">
        <v>121</v>
      </c>
      <c r="S35" s="7" t="s">
        <v>98</v>
      </c>
      <c r="T35" s="273" t="s">
        <v>217</v>
      </c>
    </row>
    <row r="36" spans="2:20" x14ac:dyDescent="0.25">
      <c r="B36">
        <f>'Tiltag 2'!G23</f>
        <v>0</v>
      </c>
      <c r="H36" s="223" t="s">
        <v>213</v>
      </c>
      <c r="I36" t="e">
        <f>I35/('Tiltag 2'!#REF!/100)</f>
        <v>#N/A</v>
      </c>
      <c r="N36" s="685" t="s">
        <v>87</v>
      </c>
      <c r="O36" s="686"/>
      <c r="P36" s="119"/>
      <c r="Q36" s="7" t="s">
        <v>199</v>
      </c>
      <c r="R36" s="7" t="s">
        <v>122</v>
      </c>
      <c r="S36" s="7" t="s">
        <v>98</v>
      </c>
      <c r="T36" s="273" t="s">
        <v>217</v>
      </c>
    </row>
    <row r="37" spans="2:20" x14ac:dyDescent="0.25">
      <c r="N37" s="120" t="s">
        <v>47</v>
      </c>
      <c r="O37" s="121">
        <f>'Tiltag 2'!G31</f>
        <v>0</v>
      </c>
      <c r="P37" s="122" t="s">
        <v>23</v>
      </c>
      <c r="Q37" s="7" t="s">
        <v>200</v>
      </c>
      <c r="R37" s="7" t="s">
        <v>206</v>
      </c>
      <c r="S37" s="7" t="s">
        <v>14</v>
      </c>
      <c r="T37" s="273" t="s">
        <v>217</v>
      </c>
    </row>
    <row r="38" spans="2:20" x14ac:dyDescent="0.25">
      <c r="H38" s="62" t="e">
        <f>I36/O7</f>
        <v>#N/A</v>
      </c>
      <c r="N38" s="120" t="s">
        <v>45</v>
      </c>
      <c r="O38" s="121">
        <f>'Tiltag 2'!G30</f>
        <v>0</v>
      </c>
      <c r="P38" s="123" t="s">
        <v>22</v>
      </c>
      <c r="Q38" s="7" t="s">
        <v>169</v>
      </c>
      <c r="R38" s="7" t="s">
        <v>29</v>
      </c>
      <c r="S38" s="7" t="s">
        <v>29</v>
      </c>
      <c r="T38" s="273" t="s">
        <v>371</v>
      </c>
    </row>
    <row r="39" spans="2:20" x14ac:dyDescent="0.25">
      <c r="N39" s="124" t="s">
        <v>50</v>
      </c>
      <c r="O39" s="125" t="e">
        <f>IF(O17="Varmepumpe","",IF(O17="Fjernvarme","",IF(O17="Elkedel","",O37*(0.0043*LN(O38)+0.93))))</f>
        <v>#N/A</v>
      </c>
      <c r="P39" s="126" t="s">
        <v>23</v>
      </c>
      <c r="Q39" s="7" t="s">
        <v>170</v>
      </c>
      <c r="R39" s="7" t="s">
        <v>204</v>
      </c>
      <c r="S39" s="7" t="s">
        <v>14</v>
      </c>
      <c r="T39" s="273" t="s">
        <v>371</v>
      </c>
    </row>
    <row r="40" spans="2:20" x14ac:dyDescent="0.25">
      <c r="N40" s="7"/>
      <c r="O40" s="7"/>
      <c r="P40" s="7"/>
      <c r="Q40" s="7" t="s">
        <v>171</v>
      </c>
      <c r="R40" s="7" t="s">
        <v>29</v>
      </c>
      <c r="S40" s="7" t="s">
        <v>29</v>
      </c>
    </row>
    <row r="41" spans="2:20" x14ac:dyDescent="0.25">
      <c r="N41" s="7"/>
      <c r="O41" s="7"/>
      <c r="P41" s="7"/>
      <c r="Q41" s="7" t="s">
        <v>201</v>
      </c>
      <c r="R41" s="7" t="s">
        <v>5</v>
      </c>
      <c r="S41" s="7" t="s">
        <v>5</v>
      </c>
      <c r="T41" s="7" t="s">
        <v>217</v>
      </c>
    </row>
    <row r="42" spans="2:20" x14ac:dyDescent="0.25">
      <c r="N42" s="7"/>
      <c r="O42" s="7"/>
      <c r="P42" s="7"/>
      <c r="Q42" s="273" t="s">
        <v>51</v>
      </c>
      <c r="R42" s="7" t="s">
        <v>51</v>
      </c>
      <c r="S42" s="7" t="s">
        <v>216</v>
      </c>
    </row>
    <row r="43" spans="2:20" x14ac:dyDescent="0.25">
      <c r="N43" s="7" t="s">
        <v>132</v>
      </c>
      <c r="O43" s="7" t="e">
        <f>IF(OR('Tiltag 1'!#REF!="Elkedel",'Tiltag 1'!#REF!="Varmepumpe"),"Elektricitet",'Tiltag 1'!#REF!)</f>
        <v>#REF!</v>
      </c>
      <c r="P43" s="7"/>
      <c r="Q43" s="7" t="s">
        <v>52</v>
      </c>
      <c r="R43" s="7" t="s">
        <v>52</v>
      </c>
      <c r="S43" s="7" t="s">
        <v>52</v>
      </c>
    </row>
    <row r="44" spans="2:20" x14ac:dyDescent="0.25">
      <c r="N44" s="7" t="s">
        <v>129</v>
      </c>
      <c r="O44" s="7" t="e">
        <f>IF('Tiltag 1'!#REF!="Fyringsolie","Gas-/dieselolie",IF('Tiltag 1'!#REF!="Heavy Fuel Oil","Fuelolie",IF('Tiltag 1'!#REF!="Flis","Skovflis",'Tiltag 1'!#REF!)))</f>
        <v>#REF!</v>
      </c>
      <c r="P44" s="7"/>
      <c r="Q44" s="7" t="str">
        <f>IFERROR(VLOOKUP('Tiltag 2'!G29,Q31:T41,4,FALSE),"")</f>
        <v/>
      </c>
      <c r="R44" s="7"/>
      <c r="S44" s="7"/>
    </row>
    <row r="45" spans="2:20" x14ac:dyDescent="0.25">
      <c r="N45" s="7" t="s">
        <v>130</v>
      </c>
      <c r="O45" s="7" t="e">
        <f>IF('Tiltag 1'!#REF!="Fyringsolie","Gas-/dieselolie",IF('Tiltag 1'!#REF!="Flis","Skovflis",IF(OR('Tiltag 1'!#REF!="Elkedel",'Tiltag 1'!#REF!="Varmepumpe"),"Elektricitet",'Tiltag 1'!#REF!)))</f>
        <v>#REF!</v>
      </c>
      <c r="P45" s="7"/>
      <c r="Q45" s="7"/>
      <c r="R45" s="7"/>
      <c r="S45" s="7"/>
    </row>
  </sheetData>
  <mergeCells count="4">
    <mergeCell ref="N5:O5"/>
    <mergeCell ref="N16:O16"/>
    <mergeCell ref="N28:O28"/>
    <mergeCell ref="N36:O3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AI119"/>
  <sheetViews>
    <sheetView topLeftCell="A58" workbookViewId="0">
      <selection activeCell="C67" sqref="C67"/>
    </sheetView>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0" t="s">
        <v>37</v>
      </c>
      <c r="O1" s="690"/>
      <c r="R1" s="690" t="s">
        <v>38</v>
      </c>
      <c r="S1" s="690"/>
    </row>
    <row r="2" spans="1:35" ht="42" customHeight="1" x14ac:dyDescent="0.25">
      <c r="C2" s="10"/>
      <c r="D2" s="10"/>
      <c r="G2" s="8"/>
      <c r="H2" s="28" t="s">
        <v>20</v>
      </c>
      <c r="M2" s="11" t="e">
        <f>IF(N4=D3,1,IF(N5=D3,2,IF(N6=D3,3,IF(N7=D3,4,IF(N8=D3,5,IF(N9=D3,6,IF(N10=D3,7,"")))))))</f>
        <v>#N/A</v>
      </c>
      <c r="N2" s="10" t="e">
        <f>VLOOKUP(M2,M4:O10,2)</f>
        <v>#N/A</v>
      </c>
      <c r="O2" s="10" t="e">
        <f>VLOOKUP(M2,M4:O10,3)</f>
        <v>#N/A</v>
      </c>
      <c r="Q2" s="11" t="str">
        <f>IF(R4=D47,1,IF(R5=D47,2,IF(R6=D47,3,IF(R7=D47,4,IF(R8=D47,5,IF(R9=D47,6,IF(R10=D47,7,"")))))))</f>
        <v/>
      </c>
      <c r="R2" s="7" t="e">
        <f>VLOOKUP(Q2,Q4:S10,2)</f>
        <v>#N/A</v>
      </c>
      <c r="S2" s="7" t="e">
        <f>VLOOKUP(Q2,Q4:S10,3)</f>
        <v>#N/A</v>
      </c>
      <c r="AB2" s="10" t="s">
        <v>1</v>
      </c>
      <c r="AC2" s="10">
        <v>0.01</v>
      </c>
    </row>
    <row r="3" spans="1:35" ht="15" customHeight="1" x14ac:dyDescent="0.25">
      <c r="A3" s="7" t="s">
        <v>209</v>
      </c>
      <c r="C3" s="7" t="s">
        <v>0</v>
      </c>
      <c r="D3" s="7" t="e">
        <f>VLOOKUP(E3,E95:G104,3,FALSE)</f>
        <v>#N/A</v>
      </c>
      <c r="E3" s="7">
        <f>'Tiltag 1'!G16</f>
        <v>0</v>
      </c>
      <c r="F3" s="131" t="e">
        <f>O2</f>
        <v>#N/A</v>
      </c>
      <c r="G3" s="8"/>
    </row>
    <row r="4" spans="1:35" ht="15" customHeight="1" x14ac:dyDescent="0.25">
      <c r="A4" s="128" t="e">
        <f>IF(#REF!&lt;&gt;1,"Fejl",VLOOKUP(1,#REF!,4,FALSE))</f>
        <v>#REF!</v>
      </c>
      <c r="C4" s="7" t="s">
        <v>1</v>
      </c>
      <c r="D4" s="129">
        <f>'Tiltag 1'!G18</f>
        <v>0</v>
      </c>
      <c r="F4" s="132" t="e">
        <f xml:space="preserve"> 0.0043*LN(D4) + 0.93</f>
        <v>#NUM!</v>
      </c>
      <c r="G4" s="8"/>
      <c r="M4" s="7">
        <v>1</v>
      </c>
      <c r="N4" s="7" t="s">
        <v>6</v>
      </c>
      <c r="O4" s="14">
        <f ca="1">O12</f>
        <v>0.51843511609559978</v>
      </c>
      <c r="Q4" s="7">
        <v>1</v>
      </c>
      <c r="R4" s="7" t="s">
        <v>6</v>
      </c>
      <c r="S4" s="14">
        <f ca="1">S12</f>
        <v>0.99039999999999995</v>
      </c>
      <c r="AB4" s="7">
        <v>1000</v>
      </c>
      <c r="AC4" s="14">
        <v>0.96</v>
      </c>
    </row>
    <row r="5" spans="1:35" ht="15" customHeight="1" x14ac:dyDescent="0.25">
      <c r="A5" s="128"/>
      <c r="C5" s="7" t="s">
        <v>2</v>
      </c>
      <c r="D5" s="129">
        <f ca="1">C17-'Tiltag 1'!G17</f>
        <v>2023</v>
      </c>
      <c r="F5" s="8"/>
      <c r="G5" s="8"/>
      <c r="K5" s="15" t="str">
        <f>IF(N4=E3,1,IF(N5=E3,2,IF(N6=E3,3,IF(N7=E3,4,IF(N8=E3,5,"")))))</f>
        <v/>
      </c>
      <c r="M5" s="7">
        <v>2</v>
      </c>
      <c r="N5" s="7" t="s">
        <v>12</v>
      </c>
      <c r="O5" s="14">
        <f ca="1">O21</f>
        <v>0.47517343190976091</v>
      </c>
      <c r="Q5" s="7">
        <v>2</v>
      </c>
      <c r="R5" s="7" t="s">
        <v>12</v>
      </c>
      <c r="S5" s="14">
        <f ca="1">S21</f>
        <v>0.98519999999999996</v>
      </c>
      <c r="AB5" s="7">
        <v>100</v>
      </c>
      <c r="AC5" s="14">
        <f>AC4-AC2</f>
        <v>0.95</v>
      </c>
    </row>
    <row r="6" spans="1:35" ht="15" customHeight="1" x14ac:dyDescent="0.25">
      <c r="A6" s="128"/>
      <c r="C6" s="7" t="s">
        <v>3</v>
      </c>
      <c r="D6" s="129" t="e">
        <f>'Virkningsgradsberegner 1'!C91/100</f>
        <v>#N/A</v>
      </c>
      <c r="G6" s="8"/>
      <c r="H6" s="8"/>
      <c r="I6" s="8"/>
      <c r="J6" s="8"/>
      <c r="K6" s="8"/>
      <c r="L6" s="8"/>
      <c r="M6" s="7">
        <v>3</v>
      </c>
      <c r="N6" s="7" t="s">
        <v>13</v>
      </c>
      <c r="O6" s="14">
        <f ca="1">O30</f>
        <v>0.46308576874692875</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0.3634870740495868</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0.49803511609559975</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0.50519809558409645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0.47517343190976091</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0.51843511609559978</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7"/>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2023</v>
      </c>
      <c r="D17" s="7">
        <f ca="1">C17-3</f>
        <v>2020</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0.47517343190976091</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0.46308576874692875</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0.3634870740495868</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f>IF(OR('Tiltag 1'!G33="Fyringsolie",'Tiltag 1'!G33="Heavy Fuel Oil"),"Olie",E47)</f>
        <v>0</v>
      </c>
      <c r="E47" s="7">
        <f>'Tiltag 1'!G33</f>
        <v>0</v>
      </c>
      <c r="F47" s="12" t="e">
        <f>S2</f>
        <v>#N/A</v>
      </c>
    </row>
    <row r="48" spans="3:19" ht="15" customHeight="1" x14ac:dyDescent="0.25">
      <c r="C48" s="7" t="s">
        <v>1</v>
      </c>
      <c r="D48" s="7">
        <f>'Tiltag 1'!G18</f>
        <v>0</v>
      </c>
      <c r="F48" s="13" t="e">
        <f xml:space="preserve"> 0.0043*LN(D48) + 0.93</f>
        <v>#NUM!</v>
      </c>
      <c r="N48" s="10" t="s">
        <v>14</v>
      </c>
      <c r="O48" s="10">
        <f ca="1">-0.062*LN(D5) + 0.97</f>
        <v>0.49803511609559975</v>
      </c>
      <c r="P48" s="7">
        <v>0.95</v>
      </c>
      <c r="R48" s="10" t="s">
        <v>14</v>
      </c>
      <c r="S48" s="10">
        <f ca="1">-0.062*LN(C17-D49+1) + 0.97</f>
        <v>0.97</v>
      </c>
    </row>
    <row r="49" spans="1:19" ht="15" customHeight="1" x14ac:dyDescent="0.25">
      <c r="C49" s="7" t="s">
        <v>2</v>
      </c>
      <c r="D49" s="7">
        <f ca="1">C17</f>
        <v>2023</v>
      </c>
    </row>
    <row r="50" spans="1:19" ht="15" customHeight="1" x14ac:dyDescent="0.25">
      <c r="C50" s="7" t="s">
        <v>3</v>
      </c>
      <c r="D50" s="7">
        <f>'Tiltag 1'!G35</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c r="E55" s="7">
        <f>IF(OR('Tiltag 1'!G33="Fyringsolie",'Tiltag 1'!G33="Heavy Fuel Oil"),"Olie",'Tiltag 1'!G16)</f>
        <v>0</v>
      </c>
    </row>
    <row r="57" spans="1:19" ht="15" customHeight="1" x14ac:dyDescent="0.25">
      <c r="C57" s="16" t="s">
        <v>8</v>
      </c>
      <c r="D57" s="7" t="e">
        <f>F48</f>
        <v>#NUM!</v>
      </c>
      <c r="N57" s="10" t="s">
        <v>15</v>
      </c>
      <c r="O57" s="10">
        <f ca="1">-0.065*LN(D5) + 0.99999999</f>
        <v>0.50519809558409645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0.47517343190976091</v>
      </c>
    </row>
    <row r="65" spans="1:15" ht="15" customHeight="1" x14ac:dyDescent="0.25">
      <c r="A65" s="7" t="e">
        <f>VLOOKUP(A64,E95:H107,4,FALSE)</f>
        <v>#N/A</v>
      </c>
    </row>
    <row r="66" spans="1:15" ht="15" customHeight="1" x14ac:dyDescent="0.25">
      <c r="B66" s="7" t="s">
        <v>376</v>
      </c>
      <c r="C66" s="464" t="e">
        <f>D14/100</f>
        <v>#N/A</v>
      </c>
      <c r="N66" s="7">
        <v>1</v>
      </c>
      <c r="O66" s="14">
        <f xml:space="preserve"> -0.067*LN(1) + 0.9852</f>
        <v>0.98519999999999996</v>
      </c>
    </row>
    <row r="67" spans="1:15" ht="15" customHeight="1" x14ac:dyDescent="0.25">
      <c r="B67" s="7" t="s">
        <v>379</v>
      </c>
      <c r="C67" s="463" t="str">
        <f>Kalorifere!F6</f>
        <v/>
      </c>
      <c r="N67" s="7">
        <v>10</v>
      </c>
      <c r="O67" s="14">
        <f xml:space="preserve"> -0.067*LN(10) + 0.9852</f>
        <v>0.8309267987693989</v>
      </c>
    </row>
    <row r="68" spans="1:15" ht="15" customHeight="1" x14ac:dyDescent="0.25">
      <c r="N68" s="7">
        <v>30</v>
      </c>
      <c r="O68" s="14">
        <f xml:space="preserve"> -0.067*LN(30) + 0.9852</f>
        <v>0.7573197754286356</v>
      </c>
    </row>
    <row r="69" spans="1:15" ht="15" customHeight="1" x14ac:dyDescent="0.25">
      <c r="B69" s="685" t="s">
        <v>49</v>
      </c>
      <c r="C69" s="686"/>
      <c r="D69" s="119"/>
    </row>
    <row r="70" spans="1:15" ht="15" customHeight="1" x14ac:dyDescent="0.25">
      <c r="B70" s="120" t="s">
        <v>0</v>
      </c>
      <c r="C70" s="121" t="e">
        <f>VLOOKUP(A64,E95:G104,2,FALSE)</f>
        <v>#N/A</v>
      </c>
      <c r="D70" s="123"/>
      <c r="E70" s="687" t="s">
        <v>28</v>
      </c>
      <c r="F70" s="688"/>
      <c r="G70" s="689"/>
      <c r="H70" s="19"/>
      <c r="I70" s="19"/>
      <c r="J70" s="20"/>
      <c r="K70" s="19"/>
      <c r="L70" s="19"/>
      <c r="M70" s="19"/>
    </row>
    <row r="71" spans="1:15" ht="15" customHeight="1" x14ac:dyDescent="0.25">
      <c r="B71" s="120" t="s">
        <v>35</v>
      </c>
      <c r="C71" s="461" t="e">
        <f>INDEX(F71:F77,MATCH(C70,E71:E77,0))</f>
        <v>#N/A</v>
      </c>
      <c r="D71" s="123" t="e">
        <f>IF(C70="Olie","kWh/Liter",IF(C70="Naturgas","kWh/Nm3","kWh/Kg"))</f>
        <v>#N/A</v>
      </c>
      <c r="E71" s="21" t="s">
        <v>29</v>
      </c>
      <c r="F71" s="454">
        <v>11</v>
      </c>
      <c r="G71" s="22" t="s">
        <v>30</v>
      </c>
      <c r="H71" s="23" t="s">
        <v>31</v>
      </c>
      <c r="I71" s="19"/>
      <c r="J71" s="20"/>
      <c r="K71" s="19"/>
      <c r="L71" s="19"/>
      <c r="M71" s="19"/>
    </row>
    <row r="72" spans="1:15" ht="15" customHeight="1" x14ac:dyDescent="0.25">
      <c r="B72" s="120"/>
      <c r="C72" s="121"/>
      <c r="D72" s="123"/>
      <c r="E72" s="21" t="s">
        <v>204</v>
      </c>
      <c r="F72" s="454">
        <v>9.8699999999999992</v>
      </c>
      <c r="G72" s="22" t="s">
        <v>32</v>
      </c>
      <c r="H72" s="23" t="s">
        <v>31</v>
      </c>
      <c r="I72" s="19"/>
      <c r="J72" s="20"/>
      <c r="K72" s="19"/>
      <c r="L72" s="19"/>
      <c r="M72" s="19"/>
    </row>
    <row r="73" spans="1:15" ht="15" customHeight="1" x14ac:dyDescent="0.25">
      <c r="B73" s="120" t="s">
        <v>36</v>
      </c>
      <c r="C73" s="121" t="e">
        <f>C75/C71</f>
        <v>#N/A</v>
      </c>
      <c r="D73" s="123" t="e">
        <f>IF(C70="Olie","Liter",IF(C70="Naturgas","Nm3","Kg"))</f>
        <v>#N/A</v>
      </c>
      <c r="E73" s="21" t="s">
        <v>338</v>
      </c>
      <c r="F73" s="454">
        <v>3.83</v>
      </c>
      <c r="G73" s="22" t="s">
        <v>33</v>
      </c>
      <c r="H73" s="23" t="s">
        <v>31</v>
      </c>
      <c r="I73" s="19"/>
      <c r="J73" s="20"/>
      <c r="K73" s="19"/>
      <c r="L73" s="19"/>
      <c r="M73" s="19"/>
    </row>
    <row r="74" spans="1:15" ht="15" customHeight="1" x14ac:dyDescent="0.25">
      <c r="B74" s="120"/>
      <c r="C74" s="121"/>
      <c r="D74" s="123"/>
      <c r="E74" s="21" t="s">
        <v>361</v>
      </c>
      <c r="F74" s="454">
        <v>4.67</v>
      </c>
      <c r="G74" s="22" t="s">
        <v>33</v>
      </c>
      <c r="H74" s="23" t="s">
        <v>31</v>
      </c>
      <c r="I74" s="19"/>
      <c r="J74" s="20"/>
      <c r="K74" s="19"/>
      <c r="L74" s="19"/>
      <c r="M74" s="19"/>
    </row>
    <row r="75" spans="1:15" ht="15" customHeight="1" x14ac:dyDescent="0.25">
      <c r="B75" s="120" t="s">
        <v>39</v>
      </c>
      <c r="C75" s="121" t="e">
        <f>IF('Tiltag 1'!G28="Ja",Graddageberegner!E27,Graddageberegner!C27)</f>
        <v>#N/A</v>
      </c>
      <c r="D75" s="123" t="s">
        <v>41</v>
      </c>
      <c r="E75" s="21" t="s">
        <v>121</v>
      </c>
      <c r="F75" s="455">
        <f>J82</f>
        <v>6.6150000000000002</v>
      </c>
      <c r="G75" s="22" t="s">
        <v>33</v>
      </c>
      <c r="H75" s="23" t="s">
        <v>31</v>
      </c>
      <c r="I75" s="19"/>
      <c r="J75" s="20"/>
      <c r="K75" s="19"/>
      <c r="L75" s="19"/>
      <c r="M75" s="19"/>
    </row>
    <row r="76" spans="1:15" ht="15" customHeight="1" x14ac:dyDescent="0.25">
      <c r="B76" s="120"/>
      <c r="C76" s="121"/>
      <c r="D76" s="123"/>
      <c r="E76" s="21" t="s">
        <v>122</v>
      </c>
      <c r="F76" s="454">
        <v>7.92</v>
      </c>
      <c r="G76" s="22" t="s">
        <v>33</v>
      </c>
      <c r="H76" s="23" t="s">
        <v>31</v>
      </c>
      <c r="I76" s="19"/>
      <c r="J76" s="19"/>
      <c r="K76" s="19"/>
      <c r="L76" s="19"/>
      <c r="M76" s="19"/>
    </row>
    <row r="77" spans="1:15" ht="15" customHeight="1" x14ac:dyDescent="0.15">
      <c r="B77" s="124" t="s">
        <v>40</v>
      </c>
      <c r="C77" s="125" t="e">
        <f>IF(A65="Kedel",C75*C66,IF(A65="Kalorifer",C75*C67))</f>
        <v>#N/A</v>
      </c>
      <c r="D77" s="126" t="s">
        <v>41</v>
      </c>
      <c r="E77" s="21" t="s">
        <v>127</v>
      </c>
      <c r="F77" s="454">
        <v>10.89</v>
      </c>
      <c r="G77" s="22" t="s">
        <v>32</v>
      </c>
    </row>
    <row r="78" spans="1:15" ht="15" customHeight="1" x14ac:dyDescent="0.15">
      <c r="E78" s="24" t="s">
        <v>5</v>
      </c>
      <c r="F78" s="456">
        <f>14.5*1000/3600</f>
        <v>4.0277777777777777</v>
      </c>
      <c r="G78" s="25" t="s">
        <v>33</v>
      </c>
      <c r="I78" s="7" t="s">
        <v>120</v>
      </c>
    </row>
    <row r="79" spans="1:15" ht="15" customHeight="1" x14ac:dyDescent="0.25">
      <c r="I79" s="7" t="s">
        <v>122</v>
      </c>
      <c r="J79" s="7">
        <v>7.92</v>
      </c>
    </row>
    <row r="80" spans="1:15" ht="15" customHeight="1" x14ac:dyDescent="0.25">
      <c r="B80" s="685" t="s">
        <v>48</v>
      </c>
      <c r="C80" s="686"/>
      <c r="D80" s="119"/>
      <c r="I80" s="7" t="s">
        <v>123</v>
      </c>
      <c r="J80" s="7">
        <v>4.7</v>
      </c>
    </row>
    <row r="81" spans="2:14" ht="15" customHeight="1" x14ac:dyDescent="0.15">
      <c r="B81" s="120" t="s">
        <v>0</v>
      </c>
      <c r="C81" s="121" t="e">
        <f>G86</f>
        <v>#N/A</v>
      </c>
      <c r="D81" s="123"/>
      <c r="I81" s="7" t="s">
        <v>124</v>
      </c>
      <c r="J81" s="7">
        <v>8.5299999999999994</v>
      </c>
      <c r="M81" s="21" t="s">
        <v>29</v>
      </c>
      <c r="N81" s="7" t="str">
        <f>LOWER(M81)</f>
        <v>naturgas</v>
      </c>
    </row>
    <row r="82" spans="2:14" ht="15" customHeight="1" x14ac:dyDescent="0.15">
      <c r="B82" s="120" t="s">
        <v>35</v>
      </c>
      <c r="C82" s="121" t="e">
        <f>IF('Tiltag 1'!G33="Varmepumpe","",IF('Tiltag 1'!G33="Fjernvarme","",IF('Tiltag 1'!G33="Elkedel","",INDEX(F71:F83,MATCH(C81,E71:E83,0)))))</f>
        <v>#N/A</v>
      </c>
      <c r="D82" s="123" t="e">
        <f>IF(C81="Olie","kWh/Liter",IF(C81="Naturgas","kWh/Nm3","kWh/Kg"))</f>
        <v>#N/A</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13</v>
      </c>
      <c r="N83" s="7" t="str">
        <f t="shared" si="0"/>
        <v>flis</v>
      </c>
    </row>
    <row r="84" spans="2:14" ht="15" customHeight="1" x14ac:dyDescent="0.15">
      <c r="B84" s="120" t="s">
        <v>133</v>
      </c>
      <c r="C84" s="121" t="e">
        <f>C77</f>
        <v>#N/A</v>
      </c>
      <c r="D84" s="123" t="s">
        <v>41</v>
      </c>
      <c r="E84" s="117" t="s">
        <v>118</v>
      </c>
      <c r="F84" s="7">
        <v>1</v>
      </c>
      <c r="M84" s="21" t="s">
        <v>6</v>
      </c>
      <c r="N84" s="7" t="str">
        <f t="shared" si="0"/>
        <v>træpiller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IF('Tiltag 1'!G33="Varmepumpe",C84/C90,IF('Tiltag 1'!G33="Fjernvarme",C84,IF(C81="Elkedel",C84,C84/(C103/100))))</f>
        <v>#N/A</v>
      </c>
      <c r="D86" s="123" t="s">
        <v>41</v>
      </c>
      <c r="E86" s="21" t="s">
        <v>126</v>
      </c>
      <c r="G86" s="7" t="e">
        <f>VLOOKUP('Tiltag 1'!G33,E113:H117,2,)</f>
        <v>#N/A</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e">
        <f>IF(C81="Olie","Liter",IF(C81="Naturgas","Nm3","Kg"))</f>
        <v>#N/A</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t="e">
        <f>IF(C81="Fjernvarme","",'Tiltag 1'!G37)</f>
        <v>#N/A</v>
      </c>
      <c r="D90" s="126"/>
      <c r="E90" s="118" t="s">
        <v>127</v>
      </c>
      <c r="M90" s="7" t="s">
        <v>135</v>
      </c>
      <c r="N90" s="7" t="e">
        <f>VLOOKUP('Tiltag 1'!G16,'Forbrugsberegner 1'!M81:N88,2,FALSE)</f>
        <v>#N/A</v>
      </c>
    </row>
    <row r="91" spans="2:14" ht="15" customHeight="1" x14ac:dyDescent="0.15">
      <c r="E91" s="21" t="s">
        <v>121</v>
      </c>
    </row>
    <row r="92" spans="2:14" ht="15" customHeight="1" x14ac:dyDescent="0.15">
      <c r="B92" s="685" t="s">
        <v>43</v>
      </c>
      <c r="C92" s="686"/>
      <c r="D92" s="119"/>
      <c r="E92" s="21" t="s">
        <v>122</v>
      </c>
    </row>
    <row r="93" spans="2:14" ht="15" customHeight="1" x14ac:dyDescent="0.25">
      <c r="B93" s="120" t="s">
        <v>46</v>
      </c>
      <c r="C93" s="121" t="e">
        <f>VLOOKUP(A64,E95:G107,2,FALSE)</f>
        <v>#N/A</v>
      </c>
      <c r="D93" s="123"/>
      <c r="J93" s="7" t="s">
        <v>313</v>
      </c>
    </row>
    <row r="94" spans="2:14" ht="15" customHeight="1" x14ac:dyDescent="0.25">
      <c r="B94" s="120" t="s">
        <v>35</v>
      </c>
      <c r="C94" s="121" t="e">
        <f>INDEX(F71:F77,MATCH(C70,E71:E77,0))</f>
        <v>#N/A</v>
      </c>
      <c r="D94" s="123" t="e">
        <f>IF(C93="Fyringsolie","kWh/Liter",IF(C93="Naturgas","kWh/Nm3","kWh/Kg"))</f>
        <v>#N/A</v>
      </c>
      <c r="E94" s="261" t="s">
        <v>202</v>
      </c>
      <c r="F94" s="7" t="s">
        <v>203</v>
      </c>
      <c r="G94" s="261" t="s">
        <v>363</v>
      </c>
      <c r="J94" s="7" t="s">
        <v>194</v>
      </c>
    </row>
    <row r="95" spans="2:14" ht="15" customHeight="1" x14ac:dyDescent="0.25">
      <c r="B95" s="120"/>
      <c r="C95" s="121"/>
      <c r="D95" s="123"/>
      <c r="E95" s="7" t="s">
        <v>194</v>
      </c>
      <c r="F95" s="7" t="s">
        <v>29</v>
      </c>
      <c r="G95" s="7" t="s">
        <v>29</v>
      </c>
      <c r="H95" s="7" t="s">
        <v>217</v>
      </c>
      <c r="J95" s="7" t="s">
        <v>195</v>
      </c>
    </row>
    <row r="96" spans="2:14" ht="15" customHeight="1" x14ac:dyDescent="0.25">
      <c r="B96" s="120" t="s">
        <v>1</v>
      </c>
      <c r="C96" s="121">
        <f>D4</f>
        <v>0</v>
      </c>
      <c r="D96" s="123" t="s">
        <v>22</v>
      </c>
      <c r="E96" s="7" t="s">
        <v>195</v>
      </c>
      <c r="F96" s="7" t="s">
        <v>204</v>
      </c>
      <c r="G96" s="7" t="s">
        <v>14</v>
      </c>
      <c r="H96" s="7" t="s">
        <v>217</v>
      </c>
      <c r="J96" s="7" t="s">
        <v>196</v>
      </c>
    </row>
    <row r="97" spans="2:10" ht="15" customHeight="1" x14ac:dyDescent="0.25">
      <c r="B97" s="120" t="s">
        <v>136</v>
      </c>
      <c r="C97" s="121">
        <f>C96*8760</f>
        <v>0</v>
      </c>
      <c r="D97" s="123" t="s">
        <v>41</v>
      </c>
      <c r="E97" s="7" t="s">
        <v>196</v>
      </c>
      <c r="F97" s="7" t="s">
        <v>338</v>
      </c>
      <c r="G97" s="7" t="s">
        <v>13</v>
      </c>
      <c r="H97" s="7" t="s">
        <v>217</v>
      </c>
      <c r="J97" s="7" t="s">
        <v>197</v>
      </c>
    </row>
    <row r="98" spans="2:10" ht="15" customHeight="1" x14ac:dyDescent="0.25">
      <c r="B98" s="124" t="s">
        <v>137</v>
      </c>
      <c r="C98" s="125" t="e">
        <f>C97/C94</f>
        <v>#N/A</v>
      </c>
      <c r="D98" s="126" t="e">
        <f>IF(C93="Fyringsolie","Liter",IF(C93="Naturgas","Nm3","Kg"))</f>
        <v>#N/A</v>
      </c>
      <c r="E98" s="7" t="s">
        <v>197</v>
      </c>
      <c r="F98" s="7" t="s">
        <v>361</v>
      </c>
      <c r="G98" s="7" t="s">
        <v>6</v>
      </c>
      <c r="H98" s="7" t="s">
        <v>217</v>
      </c>
      <c r="J98" s="7" t="s">
        <v>169</v>
      </c>
    </row>
    <row r="99" spans="2:10" ht="15" customHeight="1" x14ac:dyDescent="0.25">
      <c r="E99" s="7" t="s">
        <v>198</v>
      </c>
      <c r="F99" s="7" t="s">
        <v>121</v>
      </c>
      <c r="G99" s="7" t="s">
        <v>98</v>
      </c>
      <c r="H99" s="7" t="s">
        <v>217</v>
      </c>
      <c r="J99" s="7" t="s">
        <v>170</v>
      </c>
    </row>
    <row r="100" spans="2:10" ht="15" customHeight="1" x14ac:dyDescent="0.25">
      <c r="B100" s="685" t="s">
        <v>87</v>
      </c>
      <c r="C100" s="686"/>
      <c r="D100" s="119"/>
      <c r="E100" s="7" t="s">
        <v>199</v>
      </c>
      <c r="F100" s="7" t="s">
        <v>122</v>
      </c>
      <c r="G100" s="7" t="s">
        <v>98</v>
      </c>
      <c r="H100" s="7" t="s">
        <v>217</v>
      </c>
    </row>
    <row r="101" spans="2:10" ht="15" customHeight="1" x14ac:dyDescent="0.25">
      <c r="B101" s="120" t="s">
        <v>47</v>
      </c>
      <c r="C101" s="121">
        <f>'Tiltag 1'!G35</f>
        <v>0</v>
      </c>
      <c r="D101" s="122" t="s">
        <v>23</v>
      </c>
      <c r="E101" s="7" t="s">
        <v>200</v>
      </c>
      <c r="F101" s="7" t="s">
        <v>206</v>
      </c>
      <c r="G101" s="7" t="s">
        <v>14</v>
      </c>
      <c r="H101" s="7" t="s">
        <v>217</v>
      </c>
    </row>
    <row r="102" spans="2:10" ht="15" customHeight="1" x14ac:dyDescent="0.25">
      <c r="B102" s="120" t="s">
        <v>45</v>
      </c>
      <c r="C102" s="121">
        <f>'Tiltag 1'!G34</f>
        <v>0</v>
      </c>
      <c r="D102" s="123" t="s">
        <v>22</v>
      </c>
      <c r="E102" s="7" t="s">
        <v>169</v>
      </c>
      <c r="F102" s="7" t="s">
        <v>29</v>
      </c>
      <c r="G102" s="7" t="s">
        <v>29</v>
      </c>
      <c r="H102" s="7" t="s">
        <v>371</v>
      </c>
    </row>
    <row r="103" spans="2:10" ht="15" customHeight="1" x14ac:dyDescent="0.25">
      <c r="B103" s="124" t="s">
        <v>50</v>
      </c>
      <c r="C103" s="125" t="e">
        <f>IF(C81="Varmepumpe","",IF(C81="Fjernvarme","",IF(C81="Elkedel","",C101*(0.0043*LN(C102)+0.93))))</f>
        <v>#N/A</v>
      </c>
      <c r="D103" s="126" t="s">
        <v>23</v>
      </c>
      <c r="E103" s="7" t="s">
        <v>170</v>
      </c>
      <c r="F103" s="7" t="s">
        <v>204</v>
      </c>
      <c r="G103" s="7" t="s">
        <v>14</v>
      </c>
      <c r="H103" s="7" t="s">
        <v>371</v>
      </c>
    </row>
    <row r="104" spans="2:10" ht="15" customHeight="1" x14ac:dyDescent="0.25">
      <c r="E104" s="7" t="s">
        <v>171</v>
      </c>
      <c r="F104" s="7" t="s">
        <v>29</v>
      </c>
      <c r="G104" s="7" t="s">
        <v>29</v>
      </c>
    </row>
    <row r="105" spans="2:10" ht="15" customHeight="1" x14ac:dyDescent="0.25">
      <c r="E105" s="7" t="s">
        <v>52</v>
      </c>
      <c r="F105" s="7" t="s">
        <v>52</v>
      </c>
      <c r="G105" s="7" t="s">
        <v>52</v>
      </c>
    </row>
    <row r="106" spans="2:10" ht="15" customHeight="1" x14ac:dyDescent="0.25">
      <c r="E106" s="7" t="s">
        <v>51</v>
      </c>
      <c r="F106" s="7" t="s">
        <v>216</v>
      </c>
      <c r="G106" s="7" t="s">
        <v>216</v>
      </c>
    </row>
    <row r="107" spans="2:10" ht="15" customHeight="1" x14ac:dyDescent="0.25">
      <c r="B107" s="7" t="s">
        <v>132</v>
      </c>
      <c r="C107" s="7">
        <f>IF(OR('Tiltag 1'!G33="Elkedel",'Tiltag 1'!G33="Varmepumpe"),"Elektricitet",'Tiltag 1'!G33)</f>
        <v>0</v>
      </c>
      <c r="E107" s="7" t="s">
        <v>118</v>
      </c>
      <c r="F107" s="7" t="s">
        <v>216</v>
      </c>
      <c r="G107" s="7" t="s">
        <v>216</v>
      </c>
    </row>
    <row r="108" spans="2:10" ht="15" customHeight="1" x14ac:dyDescent="0.25">
      <c r="B108" s="7" t="s">
        <v>129</v>
      </c>
      <c r="C108" s="7">
        <f>IF('Tiltag 1'!G16="Fyringsolie","Gas-/dieselolie",IF('Tiltag 1'!G16="Heavy Fuel Oil","Fuelolie",IF('Tiltag 1'!G16="Flis","Skovflis",'Tiltag 1'!G16)))</f>
        <v>0</v>
      </c>
    </row>
    <row r="109" spans="2:10" ht="15" customHeight="1" x14ac:dyDescent="0.25">
      <c r="B109" s="7" t="s">
        <v>130</v>
      </c>
      <c r="C109" s="7">
        <f>IF('Tiltag 1'!G33="Fyringsolie","Gas-/dieselolie",IF('Tiltag 1'!G33="Flis","Skovflis",IF(OR('Tiltag 1'!G33="Elkedel",'Tiltag 1'!G33="Varmepumpe"),"Elektricitet",'Tiltag 1'!G33)))</f>
        <v>0</v>
      </c>
    </row>
    <row r="110" spans="2:10" ht="15" customHeight="1" x14ac:dyDescent="0.25">
      <c r="E110" s="7" t="s">
        <v>201</v>
      </c>
      <c r="F110" s="7" t="s">
        <v>5</v>
      </c>
      <c r="G110" s="7" t="s">
        <v>5</v>
      </c>
      <c r="H110" s="7" t="s">
        <v>217</v>
      </c>
    </row>
    <row r="112" spans="2:10" ht="15" customHeight="1" x14ac:dyDescent="0.25">
      <c r="E112" s="7" t="s">
        <v>312</v>
      </c>
    </row>
    <row r="113" spans="5:8" ht="15" customHeight="1" x14ac:dyDescent="0.25">
      <c r="E113" s="7" t="s">
        <v>52</v>
      </c>
      <c r="F113" s="7" t="s">
        <v>52</v>
      </c>
      <c r="G113" s="7" t="s">
        <v>52</v>
      </c>
    </row>
    <row r="114" spans="5:8" ht="15" customHeight="1" x14ac:dyDescent="0.25">
      <c r="E114" s="7" t="s">
        <v>51</v>
      </c>
      <c r="F114" s="7" t="s">
        <v>216</v>
      </c>
      <c r="G114" s="7" t="s">
        <v>216</v>
      </c>
    </row>
    <row r="115" spans="5:8" ht="15" customHeight="1" x14ac:dyDescent="0.25">
      <c r="E115" s="7" t="s">
        <v>196</v>
      </c>
      <c r="F115" s="7" t="s">
        <v>338</v>
      </c>
      <c r="G115" s="7" t="s">
        <v>13</v>
      </c>
      <c r="H115" s="7" t="s">
        <v>217</v>
      </c>
    </row>
    <row r="116" spans="5:8" ht="15" customHeight="1" x14ac:dyDescent="0.25">
      <c r="E116" s="7" t="s">
        <v>197</v>
      </c>
      <c r="F116" s="7" t="s">
        <v>361</v>
      </c>
      <c r="G116" s="7" t="s">
        <v>361</v>
      </c>
      <c r="H116" s="7" t="s">
        <v>217</v>
      </c>
    </row>
    <row r="117" spans="5:8" ht="15" customHeight="1" x14ac:dyDescent="0.25">
      <c r="E117" s="7" t="s">
        <v>201</v>
      </c>
      <c r="F117" s="7" t="s">
        <v>5</v>
      </c>
      <c r="G117" s="7" t="s">
        <v>5</v>
      </c>
      <c r="H117" s="7" t="s">
        <v>217</v>
      </c>
    </row>
    <row r="119" spans="5:8" ht="15" customHeight="1" x14ac:dyDescent="0.25">
      <c r="E119" s="7" t="str">
        <f>IFERROR(VLOOKUP('Tiltag 1'!G33,E113:H117,4,FALSE),"")</f>
        <v/>
      </c>
    </row>
  </sheetData>
  <sheetProtection selectLockedCells="1" selectUnlockedCells="1"/>
  <mergeCells count="7">
    <mergeCell ref="B100:C100"/>
    <mergeCell ref="E70:G70"/>
    <mergeCell ref="N1:O1"/>
    <mergeCell ref="R1:S1"/>
    <mergeCell ref="B69:C69"/>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AG187"/>
  <sheetViews>
    <sheetView workbookViewId="0"/>
  </sheetViews>
  <sheetFormatPr defaultRowHeight="15" x14ac:dyDescent="0.25"/>
  <cols>
    <col min="2" max="2" width="21.28515625" customWidth="1"/>
    <col min="3" max="3" width="34.5703125" bestFit="1" customWidth="1"/>
    <col min="4" max="4" width="29.7109375" bestFit="1" customWidth="1"/>
    <col min="5" max="5" width="14.7109375" customWidth="1"/>
    <col min="7" max="7" width="11.42578125" customWidth="1"/>
    <col min="8" max="8" width="26.28515625" customWidth="1"/>
    <col min="12" max="12" width="11.5703125" bestFit="1" customWidth="1"/>
    <col min="13" max="13" width="23.7109375" bestFit="1" customWidth="1"/>
    <col min="14" max="14" width="14.5703125" bestFit="1" customWidth="1"/>
    <col min="15" max="16" width="11.42578125" customWidth="1"/>
    <col min="17" max="17" width="27.7109375" customWidth="1"/>
    <col min="18" max="18" width="14" bestFit="1" customWidth="1"/>
    <col min="19" max="25" width="10.7109375" bestFit="1" customWidth="1"/>
    <col min="26" max="27" width="10.42578125" bestFit="1" customWidth="1"/>
    <col min="28" max="28" width="10.28515625" bestFit="1" customWidth="1"/>
    <col min="29" max="29" width="11.5703125" customWidth="1"/>
    <col min="30" max="30" width="11.28515625" bestFit="1" customWidth="1"/>
    <col min="32" max="32" width="18.42578125" bestFit="1" customWidth="1"/>
    <col min="33" max="33" width="11.5703125" bestFit="1" customWidth="1"/>
  </cols>
  <sheetData>
    <row r="2" spans="2:30" x14ac:dyDescent="0.25">
      <c r="C2" t="s">
        <v>90</v>
      </c>
      <c r="D2" t="s">
        <v>91</v>
      </c>
      <c r="E2" t="s">
        <v>92</v>
      </c>
      <c r="F2" t="s">
        <v>95</v>
      </c>
      <c r="G2" t="s">
        <v>93</v>
      </c>
      <c r="H2" t="s">
        <v>94</v>
      </c>
    </row>
    <row r="3" spans="2:30" x14ac:dyDescent="0.25">
      <c r="B3" t="s">
        <v>84</v>
      </c>
      <c r="C3" t="s">
        <v>85</v>
      </c>
      <c r="D3" t="s">
        <v>74</v>
      </c>
      <c r="E3" t="s">
        <v>75</v>
      </c>
      <c r="F3" t="s">
        <v>76</v>
      </c>
      <c r="G3" t="s">
        <v>77</v>
      </c>
      <c r="H3" t="s">
        <v>78</v>
      </c>
      <c r="I3" t="s">
        <v>79</v>
      </c>
      <c r="J3" t="s">
        <v>80</v>
      </c>
      <c r="K3" t="s">
        <v>81</v>
      </c>
      <c r="L3" t="s">
        <v>82</v>
      </c>
      <c r="M3" t="s">
        <v>83</v>
      </c>
      <c r="N3" t="s">
        <v>84</v>
      </c>
    </row>
    <row r="4" spans="2:30" x14ac:dyDescent="0.25">
      <c r="E4" s="38"/>
      <c r="F4" s="38"/>
      <c r="L4" s="38"/>
      <c r="M4" s="38"/>
      <c r="N4" s="38"/>
      <c r="O4" s="38"/>
    </row>
    <row r="7" spans="2:30" x14ac:dyDescent="0.25">
      <c r="B7" t="s">
        <v>89</v>
      </c>
      <c r="C7" s="61" t="e">
        <f>'Forbrugsberegner 1'!C70</f>
        <v>#N/A</v>
      </c>
    </row>
    <row r="8" spans="2:30" x14ac:dyDescent="0.25">
      <c r="B8" t="s">
        <v>35</v>
      </c>
      <c r="C8" s="61" t="e">
        <f>'Forbrugsberegner 1'!C71</f>
        <v>#N/A</v>
      </c>
      <c r="D8" s="61" t="e">
        <f>'Forbrugsberegner 1'!D71</f>
        <v>#N/A</v>
      </c>
    </row>
    <row r="9" spans="2:30" x14ac:dyDescent="0.25">
      <c r="C9" s="61"/>
      <c r="D9" s="61"/>
    </row>
    <row r="11" spans="2:30" x14ac:dyDescent="0.25">
      <c r="B11" t="str">
        <f>"Forbrug "&amp; "["&amp; 'Tiltag 1'!I24 &amp;"]"</f>
        <v>Forbrug []</v>
      </c>
    </row>
    <row r="12" spans="2:30" x14ac:dyDescent="0.25">
      <c r="C12" t="str">
        <f>"Forbrug ikke korrigeret "&amp; "["&amp; 'Tiltag 1'!I24 &amp;"]"</f>
        <v>Forbrug ikke korrigeret []</v>
      </c>
      <c r="D12" t="s">
        <v>168</v>
      </c>
      <c r="E12" t="s">
        <v>172</v>
      </c>
    </row>
    <row r="13" spans="2:30" ht="18.75" x14ac:dyDescent="0.3">
      <c r="B13" s="59">
        <v>1</v>
      </c>
      <c r="C13" s="59">
        <f>'Tiltag 1'!G24</f>
        <v>0</v>
      </c>
      <c r="D13" s="60" t="e">
        <f>D24/$C$8</f>
        <v>#VALUE!</v>
      </c>
      <c r="E13" s="60" t="e">
        <f>C13-D13</f>
        <v>#VALUE!</v>
      </c>
      <c r="F13" s="59"/>
      <c r="R13" s="691"/>
      <c r="S13" s="691"/>
      <c r="T13" s="691"/>
      <c r="U13" s="691"/>
      <c r="V13" s="691"/>
      <c r="W13" s="691"/>
      <c r="X13" s="691"/>
      <c r="Y13" s="691"/>
      <c r="Z13" s="691"/>
      <c r="AA13" s="691"/>
      <c r="AB13" s="691"/>
      <c r="AC13" s="691"/>
      <c r="AD13" s="691"/>
    </row>
    <row r="14" spans="2:30" x14ac:dyDescent="0.25">
      <c r="B14" s="59">
        <f>B13+1</f>
        <v>2</v>
      </c>
      <c r="C14" s="59">
        <f>'Tiltag 1'!G25</f>
        <v>0</v>
      </c>
      <c r="D14" s="60" t="e">
        <f t="shared" ref="D14:D15" si="0">D25/$C$8</f>
        <v>#VALUE!</v>
      </c>
      <c r="E14" s="60" t="e">
        <f t="shared" ref="E14:E15" si="1">C14-D14</f>
        <v>#VALUE!</v>
      </c>
      <c r="F14" s="59"/>
    </row>
    <row r="15" spans="2:30" x14ac:dyDescent="0.25">
      <c r="B15" s="59">
        <f>B14+1</f>
        <v>3</v>
      </c>
      <c r="C15" s="59">
        <f>'Tiltag 1'!G26</f>
        <v>0</v>
      </c>
      <c r="D15" s="60" t="e">
        <f t="shared" si="0"/>
        <v>#VALUE!</v>
      </c>
      <c r="E15" s="60" t="e">
        <f t="shared" si="1"/>
        <v>#VALUE!</v>
      </c>
      <c r="F15" s="59"/>
    </row>
    <row r="16" spans="2:30" x14ac:dyDescent="0.25">
      <c r="B16" s="59"/>
      <c r="C16" s="59"/>
      <c r="D16" s="60"/>
      <c r="F16" s="59"/>
    </row>
    <row r="18" spans="2:32" x14ac:dyDescent="0.25">
      <c r="B18" t="s">
        <v>86</v>
      </c>
      <c r="C18" s="59">
        <f>IF('Tiltag 1'!$G$22=3,AVERAGE(C13:C15),IF('Tiltag 1'!$G$22=1,Graddageberegner!C13,0))</f>
        <v>0</v>
      </c>
      <c r="D18" s="59">
        <f>IF('Tiltag 1'!$G$22=3,AVERAGE(D13:D15),IF('Tiltag 1'!$G$22=1,Graddageberegner!D13,0))</f>
        <v>0</v>
      </c>
      <c r="E18" s="59">
        <f>IF('Tiltag 1'!$G$22=3,AVERAGE(E13:E15),IF('Tiltag 1'!$G$22=1,Graddageberegner!E13,0))</f>
        <v>0</v>
      </c>
    </row>
    <row r="19" spans="2:32" x14ac:dyDescent="0.25">
      <c r="D19" s="59"/>
    </row>
    <row r="20" spans="2:32" x14ac:dyDescent="0.25">
      <c r="B20" t="s">
        <v>173</v>
      </c>
    </row>
    <row r="22" spans="2:32" x14ac:dyDescent="0.25">
      <c r="B22" t="s">
        <v>144</v>
      </c>
    </row>
    <row r="23" spans="2:32" x14ac:dyDescent="0.25">
      <c r="B23" t="s">
        <v>99</v>
      </c>
      <c r="D23" t="s">
        <v>166</v>
      </c>
      <c r="E23" t="s">
        <v>167</v>
      </c>
    </row>
    <row r="24" spans="2:32" x14ac:dyDescent="0.25">
      <c r="B24" s="59">
        <f>C40</f>
        <v>0</v>
      </c>
      <c r="C24" s="62" t="e">
        <f>$C$8*C13</f>
        <v>#N/A</v>
      </c>
      <c r="D24" t="e">
        <f>Nøgletal!C21</f>
        <v>#VALUE!</v>
      </c>
      <c r="E24" s="62" t="e">
        <f>C24-D24</f>
        <v>#N/A</v>
      </c>
    </row>
    <row r="25" spans="2:32" x14ac:dyDescent="0.25">
      <c r="B25" s="59">
        <f>C41</f>
        <v>0</v>
      </c>
      <c r="C25" s="62" t="e">
        <f>IF(B25="","",$C$8*C14)</f>
        <v>#N/A</v>
      </c>
      <c r="D25" t="str">
        <f>IF(OR('Tiltag 1'!G22=1,'Tiltag 1'!G25="",'Tiltag 1'!G26=""),"-",D24)</f>
        <v>-</v>
      </c>
      <c r="E25" s="62" t="str">
        <f>IFERROR(C25-D25,"")</f>
        <v/>
      </c>
      <c r="AF25" s="38"/>
    </row>
    <row r="26" spans="2:32" x14ac:dyDescent="0.25">
      <c r="B26" s="59">
        <f>C42</f>
        <v>0</v>
      </c>
      <c r="C26" s="62" t="e">
        <f>IF(B15="","",$C$8*C15)</f>
        <v>#N/A</v>
      </c>
      <c r="D26" t="str">
        <f>D25</f>
        <v>-</v>
      </c>
      <c r="E26" s="62" t="str">
        <f>IFERROR(C26-D26,"")</f>
        <v/>
      </c>
      <c r="AF26" s="38"/>
    </row>
    <row r="27" spans="2:32" x14ac:dyDescent="0.25">
      <c r="B27" s="59" t="s">
        <v>86</v>
      </c>
      <c r="C27" s="62" t="e">
        <f>IF('Tiltag 1'!G22=1,SUM(C24),SUM(C24:C26)/'Tiltag 1'!G22)</f>
        <v>#N/A</v>
      </c>
      <c r="E27" s="62" t="e">
        <f>IF('Tiltag 1'!G22=1,SUM(E24),SUM(E24:E26)/'Tiltag 1'!G22)</f>
        <v>#N/A</v>
      </c>
      <c r="R27" s="38"/>
      <c r="AF27" s="38"/>
    </row>
    <row r="28" spans="2:32" x14ac:dyDescent="0.25">
      <c r="B28" s="59"/>
      <c r="AD28" s="38"/>
      <c r="AE28" s="38"/>
      <c r="AF28" s="38"/>
    </row>
    <row r="29" spans="2:32" x14ac:dyDescent="0.25">
      <c r="AD29" s="38"/>
      <c r="AE29" s="38"/>
      <c r="AF29" s="38"/>
    </row>
    <row r="30" spans="2:32" x14ac:dyDescent="0.25">
      <c r="B30" t="s">
        <v>86</v>
      </c>
      <c r="C30" s="62" t="e">
        <f>IF('Tiltag 1'!G28="Ja",E27,C27)</f>
        <v>#N/A</v>
      </c>
      <c r="AD30" s="38"/>
      <c r="AE30" s="38"/>
      <c r="AF30" s="38"/>
    </row>
    <row r="31" spans="2:32" x14ac:dyDescent="0.25">
      <c r="AD31" s="38"/>
      <c r="AE31" s="38"/>
      <c r="AF31" s="38"/>
    </row>
    <row r="32" spans="2:32" x14ac:dyDescent="0.25">
      <c r="Y32" s="38"/>
      <c r="Z32" s="38"/>
      <c r="AA32" s="38"/>
      <c r="AB32" s="38"/>
      <c r="AC32" s="38"/>
      <c r="AD32" s="38"/>
      <c r="AE32" s="38"/>
      <c r="AF32" s="38"/>
    </row>
    <row r="33" spans="16:33" x14ac:dyDescent="0.25">
      <c r="U33" s="38"/>
      <c r="V33" s="38"/>
      <c r="W33" s="38"/>
      <c r="X33" s="38"/>
      <c r="Y33" s="38"/>
      <c r="Z33" s="38"/>
      <c r="AA33" s="38"/>
      <c r="AB33" s="38"/>
      <c r="AC33" s="38"/>
      <c r="AD33" s="38"/>
      <c r="AE33" s="38"/>
      <c r="AF33" s="38"/>
    </row>
    <row r="34" spans="16:33" x14ac:dyDescent="0.25">
      <c r="T34" s="38"/>
      <c r="U34" s="38"/>
      <c r="V34" s="38"/>
      <c r="W34" s="38"/>
      <c r="X34" s="38"/>
      <c r="Y34" s="38"/>
      <c r="Z34" s="38"/>
      <c r="AA34" s="38"/>
      <c r="AB34" s="38"/>
      <c r="AC34" s="38"/>
      <c r="AD34" s="38"/>
      <c r="AE34" s="38"/>
      <c r="AF34" s="38"/>
    </row>
    <row r="35" spans="16:33" x14ac:dyDescent="0.25">
      <c r="T35" s="39"/>
      <c r="U35" s="38"/>
      <c r="V35" s="38"/>
      <c r="W35" s="38"/>
      <c r="X35" s="38"/>
      <c r="Y35" s="38"/>
      <c r="Z35" s="38"/>
      <c r="AA35" s="38"/>
      <c r="AB35" s="38"/>
      <c r="AC35" s="38"/>
      <c r="AD35" s="38"/>
      <c r="AE35" s="38"/>
      <c r="AF35" s="38"/>
    </row>
    <row r="36" spans="16:33" x14ac:dyDescent="0.25">
      <c r="T36" s="38"/>
      <c r="U36" s="38"/>
      <c r="V36" s="38"/>
      <c r="W36" s="38"/>
      <c r="X36" s="38"/>
      <c r="Y36" s="38"/>
      <c r="Z36" s="38"/>
      <c r="AA36" s="38"/>
      <c r="AB36" s="38"/>
      <c r="AC36" s="38"/>
      <c r="AD36" s="38"/>
      <c r="AE36" s="38"/>
      <c r="AF36" s="38"/>
    </row>
    <row r="37" spans="16:33" x14ac:dyDescent="0.25">
      <c r="T37" s="38"/>
      <c r="U37" s="38"/>
      <c r="V37" s="38"/>
      <c r="W37" s="38"/>
      <c r="X37" s="38"/>
      <c r="Y37" s="38"/>
      <c r="Z37" s="38"/>
      <c r="AA37" s="38"/>
      <c r="AB37" s="38"/>
      <c r="AC37" s="38"/>
      <c r="AD37" s="38"/>
      <c r="AE37" s="38"/>
      <c r="AF37" s="38"/>
      <c r="AG37" s="38"/>
    </row>
    <row r="38" spans="16:33" x14ac:dyDescent="0.25">
      <c r="AE38" s="38"/>
      <c r="AF38" s="38"/>
      <c r="AG38" s="38"/>
    </row>
    <row r="39" spans="16:33" x14ac:dyDescent="0.25">
      <c r="AE39" s="38"/>
      <c r="AF39" s="38"/>
      <c r="AG39" s="38"/>
    </row>
    <row r="40" spans="16:33" x14ac:dyDescent="0.25">
      <c r="AE40" s="38"/>
      <c r="AF40" s="38"/>
      <c r="AG40" s="38"/>
    </row>
    <row r="41" spans="16:33" x14ac:dyDescent="0.25">
      <c r="AE41" s="38"/>
      <c r="AF41" s="38"/>
      <c r="AG41" s="38"/>
    </row>
    <row r="42" spans="16:33" x14ac:dyDescent="0.25">
      <c r="AE42" s="38"/>
      <c r="AF42" s="38"/>
      <c r="AG42" s="38"/>
    </row>
    <row r="43" spans="16:33" x14ac:dyDescent="0.25">
      <c r="AE43" s="38"/>
      <c r="AF43" s="38"/>
      <c r="AG43" s="38"/>
    </row>
    <row r="44" spans="16:33" x14ac:dyDescent="0.25">
      <c r="AE44" s="38"/>
      <c r="AF44" s="38"/>
      <c r="AG44" s="38"/>
    </row>
    <row r="46" spans="16:33" x14ac:dyDescent="0.25">
      <c r="P46" s="38"/>
      <c r="Q46" s="38"/>
    </row>
    <row r="47" spans="16:33" x14ac:dyDescent="0.25">
      <c r="P47" s="38"/>
      <c r="Q47" s="38"/>
      <c r="R47" s="38"/>
      <c r="S47" s="38"/>
      <c r="T47" s="38"/>
      <c r="U47" s="38"/>
    </row>
    <row r="48" spans="16:33" x14ac:dyDescent="0.25">
      <c r="P48" s="38"/>
      <c r="Q48" s="38"/>
      <c r="R48" s="38"/>
      <c r="S48" s="38"/>
      <c r="T48" s="38"/>
      <c r="U48" s="38"/>
    </row>
    <row r="108" spans="18:18" x14ac:dyDescent="0.25">
      <c r="R108" s="63"/>
    </row>
    <row r="109" spans="18:18" x14ac:dyDescent="0.25">
      <c r="R109" s="63"/>
    </row>
    <row r="110" spans="18:18" x14ac:dyDescent="0.25">
      <c r="R110" s="63"/>
    </row>
    <row r="111" spans="18:18" x14ac:dyDescent="0.25">
      <c r="R111" s="63"/>
    </row>
    <row r="112" spans="18:18" x14ac:dyDescent="0.25">
      <c r="R112" s="63"/>
    </row>
    <row r="113" spans="18:18" x14ac:dyDescent="0.25">
      <c r="R113" s="63"/>
    </row>
    <row r="114" spans="18:18" x14ac:dyDescent="0.25">
      <c r="R114" s="63"/>
    </row>
    <row r="115" spans="18:18" x14ac:dyDescent="0.25">
      <c r="R115" s="63"/>
    </row>
    <row r="116" spans="18:18" x14ac:dyDescent="0.25">
      <c r="R116" s="63"/>
    </row>
    <row r="117" spans="18:18" x14ac:dyDescent="0.25">
      <c r="R117" s="63"/>
    </row>
    <row r="118" spans="18:18" x14ac:dyDescent="0.25">
      <c r="R118" s="63"/>
    </row>
    <row r="119" spans="18:18" x14ac:dyDescent="0.25">
      <c r="R119" s="63"/>
    </row>
    <row r="120" spans="18:18" x14ac:dyDescent="0.25">
      <c r="R120" s="63"/>
    </row>
    <row r="121" spans="18:18" x14ac:dyDescent="0.25">
      <c r="R121" s="63"/>
    </row>
    <row r="122" spans="18:18" x14ac:dyDescent="0.25">
      <c r="R122" s="63"/>
    </row>
    <row r="123" spans="18:18" x14ac:dyDescent="0.25">
      <c r="R123" s="63"/>
    </row>
    <row r="124" spans="18:18" x14ac:dyDescent="0.25">
      <c r="R124" s="63"/>
    </row>
    <row r="125" spans="18:18" x14ac:dyDescent="0.25">
      <c r="R125" s="63"/>
    </row>
    <row r="126" spans="18:18" x14ac:dyDescent="0.25">
      <c r="R126" s="63"/>
    </row>
    <row r="127" spans="18:18" x14ac:dyDescent="0.25">
      <c r="R127" s="63"/>
    </row>
    <row r="128" spans="18:18" x14ac:dyDescent="0.25">
      <c r="R128" s="63"/>
    </row>
    <row r="129" spans="18:18" x14ac:dyDescent="0.25">
      <c r="R129" s="63"/>
    </row>
    <row r="130" spans="18:18" x14ac:dyDescent="0.25">
      <c r="R130" s="63"/>
    </row>
    <row r="131" spans="18:18" x14ac:dyDescent="0.25">
      <c r="R131" s="63"/>
    </row>
    <row r="132" spans="18:18" x14ac:dyDescent="0.25">
      <c r="R132" s="63"/>
    </row>
    <row r="133" spans="18:18" x14ac:dyDescent="0.25">
      <c r="R133" s="63"/>
    </row>
    <row r="134" spans="18:18" x14ac:dyDescent="0.25">
      <c r="R134" s="63"/>
    </row>
    <row r="135" spans="18:18" x14ac:dyDescent="0.25">
      <c r="R135" s="63"/>
    </row>
    <row r="136" spans="18:18" x14ac:dyDescent="0.25">
      <c r="R136" s="63"/>
    </row>
    <row r="137" spans="18:18" x14ac:dyDescent="0.25">
      <c r="R137" s="63"/>
    </row>
    <row r="138" spans="18:18" x14ac:dyDescent="0.25">
      <c r="R138" s="63"/>
    </row>
    <row r="139" spans="18:18" x14ac:dyDescent="0.25">
      <c r="R139" s="63"/>
    </row>
    <row r="140" spans="18:18" x14ac:dyDescent="0.25">
      <c r="R140" s="63"/>
    </row>
    <row r="141" spans="18:18" x14ac:dyDescent="0.25">
      <c r="R141" s="63"/>
    </row>
    <row r="142" spans="18:18" x14ac:dyDescent="0.25">
      <c r="R142" s="63"/>
    </row>
    <row r="143" spans="18:18" x14ac:dyDescent="0.25">
      <c r="R143" s="63"/>
    </row>
    <row r="144" spans="18:18" x14ac:dyDescent="0.25">
      <c r="R144" s="63"/>
    </row>
    <row r="145" spans="18:18" x14ac:dyDescent="0.25">
      <c r="R145" s="63"/>
    </row>
    <row r="146" spans="18:18" x14ac:dyDescent="0.25">
      <c r="R146" s="63"/>
    </row>
    <row r="147" spans="18:18" x14ac:dyDescent="0.25">
      <c r="R147" s="63"/>
    </row>
    <row r="148" spans="18:18" x14ac:dyDescent="0.25">
      <c r="R148" s="63"/>
    </row>
    <row r="149" spans="18:18" x14ac:dyDescent="0.25">
      <c r="R149" s="63"/>
    </row>
    <row r="150" spans="18:18" x14ac:dyDescent="0.25">
      <c r="R150" s="63"/>
    </row>
    <row r="151" spans="18:18" x14ac:dyDescent="0.25">
      <c r="R151" s="63"/>
    </row>
    <row r="152" spans="18:18" x14ac:dyDescent="0.25">
      <c r="R152" s="63"/>
    </row>
    <row r="153" spans="18:18" x14ac:dyDescent="0.25">
      <c r="R153" s="63"/>
    </row>
    <row r="154" spans="18:18" x14ac:dyDescent="0.25">
      <c r="R154" s="63"/>
    </row>
    <row r="155" spans="18:18" x14ac:dyDescent="0.25">
      <c r="R155" s="63"/>
    </row>
    <row r="156" spans="18:18" x14ac:dyDescent="0.25">
      <c r="R156" s="63"/>
    </row>
    <row r="157" spans="18:18" x14ac:dyDescent="0.25">
      <c r="R157" s="63"/>
    </row>
    <row r="158" spans="18:18" x14ac:dyDescent="0.25">
      <c r="R158" s="63"/>
    </row>
    <row r="159" spans="18:18" x14ac:dyDescent="0.25">
      <c r="R159" s="63"/>
    </row>
    <row r="160" spans="18:18" x14ac:dyDescent="0.25">
      <c r="R160" s="63"/>
    </row>
    <row r="161" spans="18:18" x14ac:dyDescent="0.25">
      <c r="R161" s="63"/>
    </row>
    <row r="162" spans="18:18" x14ac:dyDescent="0.25">
      <c r="R162" s="63"/>
    </row>
    <row r="163" spans="18:18" x14ac:dyDescent="0.25">
      <c r="R163" s="63"/>
    </row>
    <row r="164" spans="18:18" x14ac:dyDescent="0.25">
      <c r="R164" s="63"/>
    </row>
    <row r="165" spans="18:18" x14ac:dyDescent="0.25">
      <c r="R165" s="63"/>
    </row>
    <row r="166" spans="18:18" x14ac:dyDescent="0.25">
      <c r="R166" s="63"/>
    </row>
    <row r="167" spans="18:18" x14ac:dyDescent="0.25">
      <c r="R167" s="63"/>
    </row>
    <row r="168" spans="18:18" x14ac:dyDescent="0.25">
      <c r="R168" s="63"/>
    </row>
    <row r="169" spans="18:18" x14ac:dyDescent="0.25">
      <c r="R169" s="63"/>
    </row>
    <row r="170" spans="18:18" x14ac:dyDescent="0.25">
      <c r="R170" s="63"/>
    </row>
    <row r="171" spans="18:18" x14ac:dyDescent="0.25">
      <c r="R171" s="63"/>
    </row>
    <row r="172" spans="18:18" x14ac:dyDescent="0.25">
      <c r="R172" s="63"/>
    </row>
    <row r="173" spans="18:18" x14ac:dyDescent="0.25">
      <c r="R173" s="63"/>
    </row>
    <row r="174" spans="18:18" x14ac:dyDescent="0.25">
      <c r="R174" s="63"/>
    </row>
    <row r="175" spans="18:18" x14ac:dyDescent="0.25">
      <c r="R175" s="63"/>
    </row>
    <row r="176" spans="18:18" x14ac:dyDescent="0.25">
      <c r="R176" s="63"/>
    </row>
    <row r="177" spans="18:18" x14ac:dyDescent="0.25">
      <c r="R177" s="63"/>
    </row>
    <row r="178" spans="18:18" x14ac:dyDescent="0.25">
      <c r="R178" s="63"/>
    </row>
    <row r="179" spans="18:18" x14ac:dyDescent="0.25">
      <c r="R179" s="63"/>
    </row>
    <row r="180" spans="18:18" x14ac:dyDescent="0.25">
      <c r="R180" s="63"/>
    </row>
    <row r="181" spans="18:18" x14ac:dyDescent="0.25">
      <c r="R181" s="63"/>
    </row>
    <row r="182" spans="18:18" x14ac:dyDescent="0.25">
      <c r="R182" s="63"/>
    </row>
    <row r="183" spans="18:18" x14ac:dyDescent="0.25">
      <c r="R183" s="63"/>
    </row>
    <row r="184" spans="18:18" x14ac:dyDescent="0.25">
      <c r="R184" s="63"/>
    </row>
    <row r="185" spans="18:18" x14ac:dyDescent="0.25">
      <c r="R185" s="63"/>
    </row>
    <row r="186" spans="18:18" x14ac:dyDescent="0.25">
      <c r="R186" s="63"/>
    </row>
    <row r="187" spans="18:18" x14ac:dyDescent="0.25">
      <c r="R187" s="63"/>
    </row>
  </sheetData>
  <mergeCells count="1">
    <mergeCell ref="R13:AD1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O91"/>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1'!D4</f>
        <v>0</v>
      </c>
    </row>
    <row r="4" spans="1:13" x14ac:dyDescent="0.25">
      <c r="B4" s="206" t="s">
        <v>61</v>
      </c>
      <c r="C4" s="207" t="e">
        <f>'Forbrugsberegner 1'!D3</f>
        <v>#N/A</v>
      </c>
      <c r="K4">
        <f ca="1">YEAR(TODAY())</f>
        <v>2023</v>
      </c>
    </row>
    <row r="5" spans="1:13" x14ac:dyDescent="0.25">
      <c r="B5" s="206" t="s">
        <v>68</v>
      </c>
      <c r="C5" s="46">
        <f>'Tiltag 1'!G17</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37" t="s">
        <v>143</v>
      </c>
      <c r="D11" s="438">
        <v>0.84</v>
      </c>
      <c r="E11" s="439">
        <v>0.86</v>
      </c>
      <c r="F11" s="439">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+INDEX(D42:D46,MATCH(#REF!,C42:C46,0),MATCH(C6,D41,1))</f>
        <v>#REF!</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21"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c r="C78" s="38"/>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#REF!</v>
      </c>
    </row>
    <row r="88" spans="2:3" x14ac:dyDescent="0.25">
      <c r="B88" t="s">
        <v>13</v>
      </c>
      <c r="C88" t="e">
        <f>C58</f>
        <v>#N/A</v>
      </c>
    </row>
    <row r="89" spans="2:3" x14ac:dyDescent="0.25">
      <c r="B89" s="490" t="s">
        <v>6</v>
      </c>
      <c r="C89" t="e">
        <f>C68</f>
        <v>#N/A</v>
      </c>
    </row>
    <row r="90" spans="2:3" x14ac:dyDescent="0.25">
      <c r="B90" t="s">
        <v>98</v>
      </c>
      <c r="C90" s="64">
        <f>IF(OR('Tiltag 1'!G16="Stenkul",'Tiltag 1'!G16="Koks"),'Virkningsgradsberegner 1'!D76,)</f>
        <v>0</v>
      </c>
    </row>
    <row r="91" spans="2:3" x14ac:dyDescent="0.25">
      <c r="B91" t="s">
        <v>44</v>
      </c>
      <c r="C91" t="e">
        <f>+INDEX(C85:C90,MATCH(C4,B85:B90,0))*100</f>
        <v>#N/A</v>
      </c>
    </row>
  </sheetData>
  <dataValidations disablePrompts="1"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113"/>
  <sheetViews>
    <sheetView workbookViewId="0">
      <selection activeCell="B14" sqref="B14"/>
    </sheetView>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0" t="s">
        <v>37</v>
      </c>
      <c r="O1" s="690"/>
      <c r="R1" s="690" t="s">
        <v>38</v>
      </c>
      <c r="S1" s="690"/>
    </row>
    <row r="2" spans="1:35" ht="42" customHeight="1" x14ac:dyDescent="0.25">
      <c r="C2" s="10"/>
      <c r="D2" s="10"/>
      <c r="G2" s="8"/>
      <c r="H2" s="28" t="s">
        <v>20</v>
      </c>
      <c r="M2" s="11" t="e">
        <f>IF(N4=D3,1,IF(N5=D3,2,IF(N6=D3,3,IF(N7=D3,4,IF(N8=D3,5,IF(N9=D3,6,IF(N10=D3,7,"")))))))</f>
        <v>#N/A</v>
      </c>
      <c r="N2" s="10" t="e">
        <f>VLOOKUP(M2,M4:O10,2)</f>
        <v>#N/A</v>
      </c>
      <c r="O2" s="10" t="e">
        <f>VLOOKUP(M2,M4:O10,3)</f>
        <v>#N/A</v>
      </c>
      <c r="Q2" s="11" t="e">
        <f>IF(R4=F55,1,IF(R5=F55,2,IF(R6=F55,3,IF(R7=F55,4,IF(R8=F55,5,IF(R9=F55,6,IF(R10=F55,7,"")))))))</f>
        <v>#N/A</v>
      </c>
      <c r="R2" s="7" t="e">
        <f>VLOOKUP(Q2,Q4:S10,2)</f>
        <v>#N/A</v>
      </c>
      <c r="S2" s="7" t="e">
        <f>VLOOKUP(Q2,Q4:S10,3)</f>
        <v>#N/A</v>
      </c>
      <c r="AB2" s="10" t="s">
        <v>1</v>
      </c>
      <c r="AC2" s="10">
        <v>0.01</v>
      </c>
    </row>
    <row r="3" spans="1:35" ht="15" customHeight="1" x14ac:dyDescent="0.25">
      <c r="A3" s="7" t="s">
        <v>209</v>
      </c>
      <c r="C3" s="7" t="s">
        <v>0</v>
      </c>
      <c r="D3" s="7" t="e">
        <f>VLOOKUP(E3,E95:G102,3,FALSE)</f>
        <v>#N/A</v>
      </c>
      <c r="E3" s="7">
        <f>'Tiltag 2'!G23</f>
        <v>0</v>
      </c>
      <c r="F3" s="131" t="e">
        <f>O2</f>
        <v>#N/A</v>
      </c>
      <c r="G3" s="8"/>
    </row>
    <row r="4" spans="1:35" ht="15" customHeight="1" x14ac:dyDescent="0.25">
      <c r="A4" s="128" t="e">
        <f>IF(#REF!&lt;&gt;1,"Fejl",VLOOKUP(1,#REF!,4,FALSE))</f>
        <v>#REF!</v>
      </c>
      <c r="C4" s="7" t="s">
        <v>1</v>
      </c>
      <c r="D4" s="129">
        <f>'Tiltag 2'!G25</f>
        <v>0</v>
      </c>
      <c r="F4" s="132" t="e">
        <f xml:space="preserve"> 0.0043*LN(D4) + 0.93</f>
        <v>#NUM!</v>
      </c>
      <c r="G4" s="8"/>
      <c r="M4" s="7">
        <v>1</v>
      </c>
      <c r="N4" s="7" t="s">
        <v>6</v>
      </c>
      <c r="O4" s="14">
        <f ca="1">O12</f>
        <v>0.51843511609559978</v>
      </c>
      <c r="Q4" s="7">
        <v>1</v>
      </c>
      <c r="R4" s="7" t="s">
        <v>6</v>
      </c>
      <c r="S4" s="14">
        <f ca="1">S12</f>
        <v>0.99039999999999995</v>
      </c>
      <c r="AB4" s="7">
        <v>1000</v>
      </c>
      <c r="AC4" s="14">
        <v>0.96</v>
      </c>
    </row>
    <row r="5" spans="1:35" ht="15" customHeight="1" x14ac:dyDescent="0.25">
      <c r="A5" s="128"/>
      <c r="C5" s="7" t="s">
        <v>2</v>
      </c>
      <c r="D5" s="129">
        <f ca="1">C17-'Tiltag 2'!G24</f>
        <v>2023</v>
      </c>
      <c r="F5" s="8"/>
      <c r="G5" s="8"/>
      <c r="K5" s="15" t="str">
        <f>IF(N4=E3,1,IF(N5=E3,2,IF(N6=E3,3,IF(N7=E3,4,IF(N8=E3,5,"")))))</f>
        <v/>
      </c>
      <c r="M5" s="7">
        <v>2</v>
      </c>
      <c r="N5" s="7" t="s">
        <v>12</v>
      </c>
      <c r="O5" s="14">
        <f ca="1">O21</f>
        <v>0.47517343190976091</v>
      </c>
      <c r="Q5" s="7">
        <v>2</v>
      </c>
      <c r="R5" s="7" t="s">
        <v>12</v>
      </c>
      <c r="S5" s="14">
        <f ca="1">S21</f>
        <v>0.98519999999999996</v>
      </c>
      <c r="AB5" s="7">
        <v>100</v>
      </c>
      <c r="AC5" s="14">
        <f>AC4-AC2</f>
        <v>0.95</v>
      </c>
    </row>
    <row r="6" spans="1:35" ht="15" customHeight="1" x14ac:dyDescent="0.25">
      <c r="A6" s="128"/>
      <c r="C6" s="7" t="s">
        <v>3</v>
      </c>
      <c r="D6" s="129" t="e">
        <f>'Virkningsgradsberegner 2'!C91/100</f>
        <v>#N/A</v>
      </c>
      <c r="G6" s="8"/>
      <c r="H6" s="8"/>
      <c r="I6" s="8"/>
      <c r="J6" s="8"/>
      <c r="K6" s="8"/>
      <c r="L6" s="8"/>
      <c r="M6" s="7">
        <v>3</v>
      </c>
      <c r="N6" s="7" t="s">
        <v>13</v>
      </c>
      <c r="O6" s="14">
        <f ca="1">O30</f>
        <v>0.46308576874692875</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0.3634870740495868</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0.49803511609559975</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0.50519809558409645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0.47517343190976091</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0.51843511609559978</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A14" s="7" t="s">
        <v>339</v>
      </c>
      <c r="B14" s="463" t="str">
        <f>Kalorifere!F7</f>
        <v/>
      </c>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464" t="e">
        <f>IF(OR('Tiltag 2'!G23="Gaskalorifer",'Tiltag 2'!G23="Oliekalorifer"),B14,D14/100)</f>
        <v>#N/A</v>
      </c>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2023</v>
      </c>
      <c r="D17" s="7">
        <f ca="1">C17-3</f>
        <v>2020</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0.47517343190976091</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0.46308576874692875</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0.3634870740495868</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f>IF(OR('Tiltag 2'!G29="Fyringsolie",'Tiltag 2'!G29="Heavy Fuel Oil"),"Olie",E47)</f>
        <v>0</v>
      </c>
      <c r="E47" s="7">
        <f>'Tiltag 2'!G29</f>
        <v>0</v>
      </c>
      <c r="F47" s="12" t="e">
        <f>S2</f>
        <v>#N/A</v>
      </c>
    </row>
    <row r="48" spans="3:19" ht="15" customHeight="1" x14ac:dyDescent="0.25">
      <c r="C48" s="7" t="s">
        <v>1</v>
      </c>
      <c r="D48" s="7">
        <f>'Tiltag 2'!G30</f>
        <v>0</v>
      </c>
      <c r="F48" s="13" t="e">
        <f xml:space="preserve"> 0.0043*LN(D48) + 0.93</f>
        <v>#NUM!</v>
      </c>
      <c r="N48" s="10" t="s">
        <v>14</v>
      </c>
      <c r="O48" s="10">
        <f ca="1">-0.062*LN(D5) + 0.97</f>
        <v>0.49803511609559975</v>
      </c>
      <c r="P48" s="7">
        <v>0.95</v>
      </c>
      <c r="R48" s="10" t="s">
        <v>14</v>
      </c>
      <c r="S48" s="10">
        <f ca="1">-0.062*LN(C17-D49+1) + 0.97</f>
        <v>0.97</v>
      </c>
    </row>
    <row r="49" spans="1:19" ht="15" customHeight="1" x14ac:dyDescent="0.25">
      <c r="C49" s="7" t="s">
        <v>2</v>
      </c>
      <c r="D49" s="7">
        <f ca="1">C17</f>
        <v>2023</v>
      </c>
    </row>
    <row r="50" spans="1:19" ht="15" customHeight="1" x14ac:dyDescent="0.25">
      <c r="C50" s="7" t="s">
        <v>3</v>
      </c>
      <c r="D50" s="7">
        <f>'Tiltag 2'!G31</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c r="E55" s="7">
        <f>IF(OR('Tiltag 2'!G23="Fyringsolie",'Tiltag 2'!G23="Heavy Fuel Oil"),"Olie",'Tiltag 2'!G23)</f>
        <v>0</v>
      </c>
      <c r="F55" s="7" t="e">
        <f>VLOOKUP(D47,E95:G105,3,FALSE)</f>
        <v>#N/A</v>
      </c>
    </row>
    <row r="57" spans="1:19" ht="15" customHeight="1" x14ac:dyDescent="0.25">
      <c r="C57" s="16" t="s">
        <v>8</v>
      </c>
      <c r="D57" s="7" t="e">
        <f>F48</f>
        <v>#NUM!</v>
      </c>
      <c r="N57" s="10" t="s">
        <v>15</v>
      </c>
      <c r="O57" s="10">
        <f ca="1">-0.065*LN(D5) + 0.99999999</f>
        <v>0.50519809558409645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0.47517343190976091</v>
      </c>
    </row>
    <row r="66" spans="2:15" ht="15" customHeight="1" x14ac:dyDescent="0.25">
      <c r="N66" s="7">
        <v>1</v>
      </c>
      <c r="O66" s="14">
        <f xml:space="preserve"> -0.067*LN(1) + 0.9852</f>
        <v>0.98519999999999996</v>
      </c>
    </row>
    <row r="67" spans="2:15" ht="15" customHeight="1" x14ac:dyDescent="0.25">
      <c r="N67" s="7">
        <v>10</v>
      </c>
      <c r="O67" s="14">
        <f xml:space="preserve"> -0.067*LN(10) + 0.9852</f>
        <v>0.8309267987693989</v>
      </c>
    </row>
    <row r="68" spans="2:15" ht="15" customHeight="1" x14ac:dyDescent="0.25">
      <c r="N68" s="7">
        <v>30</v>
      </c>
      <c r="O68" s="14">
        <f xml:space="preserve"> -0.067*LN(30) + 0.9852</f>
        <v>0.7573197754286356</v>
      </c>
    </row>
    <row r="69" spans="2:15" ht="15" customHeight="1" x14ac:dyDescent="0.25">
      <c r="B69" s="685" t="s">
        <v>49</v>
      </c>
      <c r="C69" s="686"/>
      <c r="D69" s="119"/>
    </row>
    <row r="70" spans="2:15" ht="15" customHeight="1" x14ac:dyDescent="0.25">
      <c r="B70" s="120" t="s">
        <v>0</v>
      </c>
      <c r="C70" s="121" t="e">
        <f>VLOOKUP(A64,E95:G102,2,FALSE)</f>
        <v>#N/A</v>
      </c>
      <c r="D70" s="123"/>
      <c r="E70" s="687" t="s">
        <v>28</v>
      </c>
      <c r="F70" s="688"/>
      <c r="G70" s="689"/>
      <c r="H70" s="19"/>
      <c r="I70" s="19"/>
      <c r="J70" s="20"/>
      <c r="K70" s="19"/>
      <c r="L70" s="19"/>
      <c r="M70" s="19"/>
    </row>
    <row r="71" spans="2:15" ht="15" customHeight="1" x14ac:dyDescent="0.25">
      <c r="B71" s="120" t="s">
        <v>35</v>
      </c>
      <c r="C71" s="121" t="e">
        <f>INDEX(F71:F78,MATCH(C70,E71:E78,0))</f>
        <v>#N/A</v>
      </c>
      <c r="D71" s="123" t="e">
        <f>IF(C70="Olie","kWh/Liter",IF(C70="Naturgas","kWh/Nm3","kWh/Kg"))</f>
        <v>#N/A</v>
      </c>
      <c r="E71" s="21" t="s">
        <v>29</v>
      </c>
      <c r="F71" s="21">
        <v>11</v>
      </c>
      <c r="G71" s="22" t="s">
        <v>30</v>
      </c>
      <c r="H71" s="23" t="s">
        <v>31</v>
      </c>
      <c r="I71" s="19"/>
      <c r="J71" s="20"/>
      <c r="K71" s="19"/>
      <c r="L71" s="19"/>
      <c r="M71" s="19"/>
    </row>
    <row r="72" spans="2:15" ht="15" customHeight="1" x14ac:dyDescent="0.25">
      <c r="B72" s="120"/>
      <c r="C72" s="121"/>
      <c r="D72" s="123"/>
      <c r="E72" s="21" t="s">
        <v>204</v>
      </c>
      <c r="F72" s="21">
        <v>9.8699999999999992</v>
      </c>
      <c r="G72" s="22" t="s">
        <v>32</v>
      </c>
      <c r="H72" s="23" t="s">
        <v>31</v>
      </c>
      <c r="I72" s="19"/>
      <c r="J72" s="20"/>
      <c r="K72" s="19"/>
      <c r="L72" s="19"/>
      <c r="M72" s="19"/>
    </row>
    <row r="73" spans="2:15" ht="15" customHeight="1" x14ac:dyDescent="0.25">
      <c r="B73" s="120" t="s">
        <v>36</v>
      </c>
      <c r="C73" s="121" t="e">
        <f>'Tiltag 1'!#REF!</f>
        <v>#REF!</v>
      </c>
      <c r="D73" s="123" t="e">
        <f>IF(C70="Olie","Liter",IF(C70="Naturgas","Nm3","Kg"))</f>
        <v>#N/A</v>
      </c>
      <c r="E73" s="21" t="s">
        <v>338</v>
      </c>
      <c r="F73" s="21">
        <v>3.83</v>
      </c>
      <c r="G73" s="22" t="s">
        <v>33</v>
      </c>
      <c r="H73" s="23" t="s">
        <v>31</v>
      </c>
      <c r="I73" s="19"/>
      <c r="J73" s="20"/>
      <c r="K73" s="19"/>
      <c r="L73" s="19"/>
      <c r="M73" s="19"/>
    </row>
    <row r="74" spans="2:15" ht="15" customHeight="1" x14ac:dyDescent="0.25">
      <c r="B74" s="120"/>
      <c r="C74" s="121"/>
      <c r="D74" s="123"/>
      <c r="E74" s="21" t="s">
        <v>6</v>
      </c>
      <c r="F74" s="21">
        <v>4.67</v>
      </c>
      <c r="G74" s="22" t="s">
        <v>33</v>
      </c>
      <c r="H74" s="23" t="s">
        <v>31</v>
      </c>
      <c r="I74" s="19"/>
      <c r="J74" s="20"/>
      <c r="K74" s="19"/>
      <c r="L74" s="19"/>
      <c r="M74" s="19"/>
    </row>
    <row r="75" spans="2:15" ht="15" customHeight="1" x14ac:dyDescent="0.25">
      <c r="B75" s="120" t="s">
        <v>39</v>
      </c>
      <c r="C75" s="121" t="e">
        <f>IF('Tiltag 1'!G28="Ja",Graddageberegner!E27,Graddageberegner!C27)</f>
        <v>#N/A</v>
      </c>
      <c r="D75" s="123" t="s">
        <v>41</v>
      </c>
      <c r="E75" s="21" t="s">
        <v>121</v>
      </c>
      <c r="F75" s="113">
        <v>6.6150000000000002</v>
      </c>
      <c r="G75" s="22" t="s">
        <v>33</v>
      </c>
      <c r="H75" s="23" t="s">
        <v>31</v>
      </c>
      <c r="I75" s="19"/>
      <c r="J75" s="20"/>
      <c r="K75" s="19"/>
      <c r="L75" s="19"/>
      <c r="M75" s="19"/>
    </row>
    <row r="76" spans="2:15" ht="15" customHeight="1" x14ac:dyDescent="0.25">
      <c r="B76" s="120"/>
      <c r="C76" s="121"/>
      <c r="D76" s="123"/>
      <c r="E76" s="21" t="s">
        <v>122</v>
      </c>
      <c r="F76" s="21">
        <v>7.92</v>
      </c>
      <c r="G76" s="22" t="s">
        <v>33</v>
      </c>
      <c r="H76" s="23" t="s">
        <v>31</v>
      </c>
      <c r="I76" s="19"/>
      <c r="J76" s="19"/>
      <c r="K76" s="19"/>
      <c r="L76" s="19"/>
      <c r="M76" s="19"/>
    </row>
    <row r="77" spans="2:15" ht="15" customHeight="1" x14ac:dyDescent="0.15">
      <c r="B77" s="124" t="s">
        <v>40</v>
      </c>
      <c r="C77" s="125" t="e">
        <f>C75*(D14/100)</f>
        <v>#N/A</v>
      </c>
      <c r="D77" s="126" t="s">
        <v>41</v>
      </c>
      <c r="E77" s="21" t="s">
        <v>127</v>
      </c>
      <c r="F77" s="21">
        <v>10.89</v>
      </c>
      <c r="G77" s="22" t="s">
        <v>32</v>
      </c>
    </row>
    <row r="78" spans="2:15" ht="15" customHeight="1" x14ac:dyDescent="0.15">
      <c r="E78" s="24" t="s">
        <v>5</v>
      </c>
      <c r="F78" s="114">
        <v>4.0277777777777777</v>
      </c>
      <c r="G78" s="25" t="s">
        <v>33</v>
      </c>
      <c r="I78" s="7" t="s">
        <v>120</v>
      </c>
    </row>
    <row r="79" spans="2:15" ht="15" customHeight="1" x14ac:dyDescent="0.25">
      <c r="I79" s="7" t="s">
        <v>122</v>
      </c>
      <c r="J79" s="7">
        <v>7.92</v>
      </c>
    </row>
    <row r="80" spans="2:15" ht="15" customHeight="1" x14ac:dyDescent="0.25">
      <c r="B80" s="685" t="s">
        <v>48</v>
      </c>
      <c r="C80" s="686"/>
      <c r="D80" s="119"/>
      <c r="I80" s="7" t="s">
        <v>123</v>
      </c>
      <c r="J80" s="7">
        <v>4.7</v>
      </c>
    </row>
    <row r="81" spans="2:14" ht="15" customHeight="1" x14ac:dyDescent="0.15">
      <c r="B81" s="120" t="s">
        <v>0</v>
      </c>
      <c r="C81" s="121">
        <f>E47</f>
        <v>0</v>
      </c>
      <c r="D81" s="123"/>
      <c r="I81" s="7" t="s">
        <v>124</v>
      </c>
      <c r="J81" s="7">
        <v>8.5299999999999994</v>
      </c>
      <c r="M81" s="21" t="s">
        <v>29</v>
      </c>
      <c r="N81" s="7" t="str">
        <f>LOWER(M81)</f>
        <v>naturgas</v>
      </c>
    </row>
    <row r="82" spans="2:14" ht="15" customHeight="1" x14ac:dyDescent="0.15">
      <c r="B82" s="120" t="s">
        <v>35</v>
      </c>
      <c r="C82" s="121" t="e">
        <f>IF(C81="Varmepumpe","",IF(C81="Fjernvarme","",IF(C81="Elkedel","",INDEX(F71:F83,MATCH(C81,E71:E83,0)))))</f>
        <v>#N/A</v>
      </c>
      <c r="D82" s="123" t="str">
        <f>IF(C81="Olie","kWh/Liter",IF(C81="Naturgas","kWh/Nm3","kWh/Kg"))</f>
        <v>kWh/Kg</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13</v>
      </c>
      <c r="N83" s="7" t="str">
        <f t="shared" si="0"/>
        <v>flis</v>
      </c>
    </row>
    <row r="84" spans="2:14" ht="15" customHeight="1" x14ac:dyDescent="0.15">
      <c r="B84" s="120" t="s">
        <v>133</v>
      </c>
      <c r="C84" s="121" t="e">
        <f>C77</f>
        <v>#N/A</v>
      </c>
      <c r="D84" s="123" t="s">
        <v>41</v>
      </c>
      <c r="E84" s="117" t="s">
        <v>118</v>
      </c>
      <c r="F84" s="7">
        <v>1</v>
      </c>
      <c r="M84" s="21" t="s">
        <v>6</v>
      </c>
      <c r="N84" s="7" t="str">
        <f t="shared" si="0"/>
        <v>træpiller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IF(C81="Varmepumpe",C84/'Tiltag 1'!G35,IF(C81="Fjernvarme",C84,IF(C81="Elkedel",C84,C84/(C103/100))))</f>
        <v>#N/A</v>
      </c>
      <c r="D86" s="123" t="s">
        <v>41</v>
      </c>
      <c r="E86" s="21" t="s">
        <v>126</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str">
        <f>IF(C81="Olie","Liter",IF(C81="Naturgas","Nm3","Kg"))</f>
        <v>Kg</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f>IF(C81="Fjernvarme","",'Tiltag 1'!G37)</f>
        <v>0</v>
      </c>
      <c r="D90" s="126"/>
      <c r="E90" s="118" t="s">
        <v>127</v>
      </c>
      <c r="M90" s="7" t="s">
        <v>135</v>
      </c>
      <c r="N90" s="7" t="e">
        <f>VLOOKUP('Tiltag 1'!G16,'Forbrugsberegner 2'!M81:N88,2,FALSE)</f>
        <v>#N/A</v>
      </c>
    </row>
    <row r="91" spans="2:14" ht="15" customHeight="1" x14ac:dyDescent="0.15">
      <c r="E91" s="21" t="s">
        <v>121</v>
      </c>
    </row>
    <row r="92" spans="2:14" ht="15" customHeight="1" x14ac:dyDescent="0.15">
      <c r="B92" s="685" t="s">
        <v>43</v>
      </c>
      <c r="C92" s="686"/>
      <c r="D92" s="119"/>
      <c r="E92" s="21" t="s">
        <v>122</v>
      </c>
    </row>
    <row r="93" spans="2:14" ht="15" customHeight="1" x14ac:dyDescent="0.25">
      <c r="B93" s="120" t="s">
        <v>46</v>
      </c>
      <c r="C93" s="121" t="e">
        <f>VLOOKUP(A64,E95:G105,2,FALSE)</f>
        <v>#N/A</v>
      </c>
      <c r="D93" s="123"/>
    </row>
    <row r="94" spans="2:14" ht="15" customHeight="1" x14ac:dyDescent="0.25">
      <c r="B94" s="120" t="s">
        <v>35</v>
      </c>
      <c r="C94" s="121" t="e">
        <f>INDEX(F71:F77,MATCH(C70,E71:E77,0))</f>
        <v>#N/A</v>
      </c>
      <c r="D94" s="123" t="e">
        <f>IF(C93="Fyringsolie","kWh/Liter",IF(C93="Naturgas","kWh/Nm3","kWh/Kg"))</f>
        <v>#N/A</v>
      </c>
      <c r="E94" s="261" t="s">
        <v>202</v>
      </c>
      <c r="F94" s="7" t="s">
        <v>203</v>
      </c>
      <c r="G94" s="261" t="s">
        <v>363</v>
      </c>
    </row>
    <row r="95" spans="2:14" ht="15" customHeight="1" x14ac:dyDescent="0.25">
      <c r="B95" s="120"/>
      <c r="C95" s="121"/>
      <c r="D95" s="123"/>
      <c r="E95" s="7" t="s">
        <v>194</v>
      </c>
      <c r="F95" s="7" t="s">
        <v>29</v>
      </c>
      <c r="G95" s="7" t="s">
        <v>29</v>
      </c>
    </row>
    <row r="96" spans="2:14" ht="15" customHeight="1" x14ac:dyDescent="0.25">
      <c r="B96" s="120" t="s">
        <v>1</v>
      </c>
      <c r="C96" s="121">
        <f>D4</f>
        <v>0</v>
      </c>
      <c r="D96" s="123" t="s">
        <v>22</v>
      </c>
      <c r="E96" s="7" t="s">
        <v>195</v>
      </c>
      <c r="F96" s="7" t="s">
        <v>204</v>
      </c>
      <c r="G96" s="7" t="s">
        <v>14</v>
      </c>
    </row>
    <row r="97" spans="2:7" ht="15" customHeight="1" x14ac:dyDescent="0.25">
      <c r="B97" s="120" t="s">
        <v>136</v>
      </c>
      <c r="C97" s="121">
        <f>C96*8760</f>
        <v>0</v>
      </c>
      <c r="D97" s="123" t="s">
        <v>41</v>
      </c>
      <c r="E97" s="7" t="s">
        <v>196</v>
      </c>
      <c r="F97" s="7" t="s">
        <v>338</v>
      </c>
      <c r="G97" s="7" t="s">
        <v>13</v>
      </c>
    </row>
    <row r="98" spans="2:7" ht="15" customHeight="1" x14ac:dyDescent="0.25">
      <c r="B98" s="124" t="s">
        <v>137</v>
      </c>
      <c r="C98" s="125" t="e">
        <f>C97/C94</f>
        <v>#N/A</v>
      </c>
      <c r="D98" s="126" t="e">
        <f>IF(C93="Fyringsolie","Liter",IF(C93="Naturgas","Nm3","Kg"))</f>
        <v>#N/A</v>
      </c>
      <c r="E98" s="7" t="s">
        <v>197</v>
      </c>
      <c r="F98" s="7" t="s">
        <v>361</v>
      </c>
      <c r="G98" s="7" t="s">
        <v>6</v>
      </c>
    </row>
    <row r="99" spans="2:7" ht="15" customHeight="1" x14ac:dyDescent="0.25">
      <c r="E99" s="7" t="s">
        <v>201</v>
      </c>
      <c r="F99" s="7" t="s">
        <v>5</v>
      </c>
      <c r="G99" s="7" t="s">
        <v>5</v>
      </c>
    </row>
    <row r="100" spans="2:7" ht="15" customHeight="1" x14ac:dyDescent="0.25">
      <c r="B100" s="685" t="s">
        <v>87</v>
      </c>
      <c r="C100" s="686"/>
      <c r="D100" s="119"/>
      <c r="E100" s="7" t="s">
        <v>169</v>
      </c>
      <c r="F100" s="7" t="s">
        <v>29</v>
      </c>
      <c r="G100" s="7" t="s">
        <v>29</v>
      </c>
    </row>
    <row r="101" spans="2:7" ht="15" customHeight="1" x14ac:dyDescent="0.25">
      <c r="B101" s="120" t="s">
        <v>47</v>
      </c>
      <c r="C101" s="121">
        <f>'Tiltag 2'!G31</f>
        <v>0</v>
      </c>
      <c r="D101" s="122" t="s">
        <v>23</v>
      </c>
      <c r="E101" s="7" t="s">
        <v>170</v>
      </c>
      <c r="F101" s="7" t="s">
        <v>204</v>
      </c>
      <c r="G101" s="7" t="s">
        <v>14</v>
      </c>
    </row>
    <row r="102" spans="2:7" ht="15" customHeight="1" x14ac:dyDescent="0.25">
      <c r="B102" s="120" t="s">
        <v>45</v>
      </c>
      <c r="C102" s="121">
        <f>'Tiltag 2'!G30</f>
        <v>0</v>
      </c>
      <c r="D102" s="123" t="s">
        <v>22</v>
      </c>
      <c r="E102" s="7" t="s">
        <v>171</v>
      </c>
      <c r="F102" s="7" t="s">
        <v>29</v>
      </c>
      <c r="G102" s="7" t="s">
        <v>29</v>
      </c>
    </row>
    <row r="103" spans="2:7" ht="15" customHeight="1" x14ac:dyDescent="0.25">
      <c r="B103" s="124" t="s">
        <v>50</v>
      </c>
      <c r="C103" s="125" t="e">
        <f>IF(C81="Varmepumpe","",IF(C81="Fjernvarme","",IF(C81="Elkedel","",C101*(0.0043*LN(C102)+0.93))))</f>
        <v>#NUM!</v>
      </c>
      <c r="D103" s="126" t="s">
        <v>23</v>
      </c>
      <c r="E103" s="7" t="s">
        <v>52</v>
      </c>
      <c r="F103" s="7" t="s">
        <v>52</v>
      </c>
      <c r="G103" s="7" t="s">
        <v>52</v>
      </c>
    </row>
    <row r="104" spans="2:7" ht="15" customHeight="1" x14ac:dyDescent="0.25">
      <c r="E104" s="7" t="s">
        <v>51</v>
      </c>
      <c r="F104" s="7" t="s">
        <v>216</v>
      </c>
      <c r="G104" s="7" t="s">
        <v>216</v>
      </c>
    </row>
    <row r="105" spans="2:7" ht="15" customHeight="1" x14ac:dyDescent="0.25">
      <c r="E105" s="7" t="s">
        <v>118</v>
      </c>
      <c r="F105" s="7" t="s">
        <v>216</v>
      </c>
      <c r="G105" s="7" t="s">
        <v>216</v>
      </c>
    </row>
    <row r="107" spans="2:7" ht="15" customHeight="1" x14ac:dyDescent="0.25">
      <c r="B107" s="7" t="s">
        <v>132</v>
      </c>
      <c r="C107" s="7">
        <f>IF(OR('Tiltag 1'!G33="Elkedel",'Tiltag 1'!G33="Varmepumpe"),"Elektricitet",'Tiltag 1'!G33)</f>
        <v>0</v>
      </c>
    </row>
    <row r="108" spans="2:7" ht="15" customHeight="1" x14ac:dyDescent="0.25">
      <c r="B108" s="7" t="s">
        <v>129</v>
      </c>
      <c r="C108" s="7">
        <f>IF('Tiltag 1'!G16="Fyringsolie","Gas-/dieselolie",IF('Tiltag 1'!G16="Heavy Fuel Oil","Fuelolie",IF('Tiltag 1'!G16="Flis","Skovflis",'Tiltag 1'!G16)))</f>
        <v>0</v>
      </c>
      <c r="E108" s="7" t="s">
        <v>312</v>
      </c>
    </row>
    <row r="109" spans="2:7" ht="15" customHeight="1" x14ac:dyDescent="0.25">
      <c r="B109" s="7" t="s">
        <v>130</v>
      </c>
      <c r="C109" s="7">
        <f>IF('Tiltag 1'!G33="Fyringsolie","Gas-/dieselolie",IF('Tiltag 1'!G33="Flis","Skovflis",IF(OR('Tiltag 1'!G33="Elkedel",'Tiltag 1'!G33="Varmepumpe"),"Elektricitet",'Tiltag 1'!G33)))</f>
        <v>0</v>
      </c>
      <c r="E109" s="7" t="s">
        <v>52</v>
      </c>
      <c r="F109" s="7" t="s">
        <v>52</v>
      </c>
      <c r="G109" s="7" t="s">
        <v>52</v>
      </c>
    </row>
    <row r="110" spans="2:7" ht="15" customHeight="1" x14ac:dyDescent="0.25">
      <c r="E110" s="7" t="s">
        <v>51</v>
      </c>
      <c r="F110" s="7" t="s">
        <v>216</v>
      </c>
      <c r="G110" s="7" t="s">
        <v>216</v>
      </c>
    </row>
    <row r="111" spans="2:7" ht="15" customHeight="1" x14ac:dyDescent="0.25">
      <c r="E111" s="7" t="s">
        <v>196</v>
      </c>
      <c r="F111" s="7" t="s">
        <v>205</v>
      </c>
      <c r="G111" s="7" t="s">
        <v>13</v>
      </c>
    </row>
    <row r="112" spans="2:7" ht="15" customHeight="1" x14ac:dyDescent="0.25">
      <c r="E112" s="7" t="s">
        <v>197</v>
      </c>
      <c r="F112" s="7" t="s">
        <v>361</v>
      </c>
      <c r="G112" s="7" t="s">
        <v>6</v>
      </c>
    </row>
    <row r="113" spans="5:7" ht="15" customHeight="1" x14ac:dyDescent="0.25">
      <c r="E113" s="7" t="s">
        <v>201</v>
      </c>
      <c r="F113" s="7" t="s">
        <v>5</v>
      </c>
      <c r="G113" s="7" t="s">
        <v>5</v>
      </c>
    </row>
  </sheetData>
  <sheetProtection selectLockedCells="1" selectUnlockedCells="1"/>
  <mergeCells count="7">
    <mergeCell ref="B100:C100"/>
    <mergeCell ref="N1:O1"/>
    <mergeCell ref="R1:S1"/>
    <mergeCell ref="B69:C69"/>
    <mergeCell ref="E70:G70"/>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O91"/>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2'!D4</f>
        <v>0</v>
      </c>
    </row>
    <row r="4" spans="1:13" x14ac:dyDescent="0.25">
      <c r="B4" s="206" t="s">
        <v>61</v>
      </c>
      <c r="C4" s="207" t="e">
        <f>'Forbrugsberegner 2'!D3</f>
        <v>#N/A</v>
      </c>
      <c r="K4">
        <f ca="1">YEAR(TODAY())</f>
        <v>2023</v>
      </c>
    </row>
    <row r="5" spans="1:13" x14ac:dyDescent="0.25">
      <c r="B5" s="206" t="s">
        <v>68</v>
      </c>
      <c r="C5" s="46">
        <f>'Tiltag 2'!G24</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37" t="s">
        <v>143</v>
      </c>
      <c r="D11" s="438">
        <v>0.84</v>
      </c>
      <c r="E11" s="439">
        <v>0.86</v>
      </c>
      <c r="F11" s="439">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+INDEX(D42:D46,MATCH(M13,C42:C46,0),MATCH(C6,D41,1))</f>
        <v>#N/A</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c r="C78" s="38"/>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#N/A</v>
      </c>
    </row>
    <row r="88" spans="2:3" x14ac:dyDescent="0.25">
      <c r="B88" t="s">
        <v>13</v>
      </c>
      <c r="C88" t="e">
        <f>C58</f>
        <v>#N/A</v>
      </c>
    </row>
    <row r="89" spans="2:3" x14ac:dyDescent="0.25">
      <c r="B89" t="s">
        <v>6</v>
      </c>
      <c r="C89" t="e">
        <f>C68</f>
        <v>#N/A</v>
      </c>
    </row>
    <row r="90" spans="2:3" x14ac:dyDescent="0.25">
      <c r="B90" t="s">
        <v>98</v>
      </c>
      <c r="C90" s="64">
        <f>IF(OR('Tiltag 1'!G16="Stenkul",'Tiltag 1'!G16="Koks"),'Virkningsgradsberegner 2'!D76,)</f>
        <v>0</v>
      </c>
    </row>
    <row r="91" spans="2:3" x14ac:dyDescent="0.25">
      <c r="B91" t="s">
        <v>44</v>
      </c>
      <c r="C91" t="e">
        <f>+INDEX(C85:C90,MATCH(C4,B85:B90,0))*100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O91"/>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5'!D4</f>
        <v>0</v>
      </c>
    </row>
    <row r="4" spans="1:13" x14ac:dyDescent="0.25">
      <c r="B4" s="206" t="s">
        <v>61</v>
      </c>
      <c r="C4" s="207" t="e">
        <f>'Forbrugsberegner 5'!D3</f>
        <v>#N/A</v>
      </c>
      <c r="K4">
        <f ca="1">YEAR(TODAY())</f>
        <v>2023</v>
      </c>
    </row>
    <row r="5" spans="1:13" x14ac:dyDescent="0.25">
      <c r="B5" s="206" t="s">
        <v>68</v>
      </c>
      <c r="C5" s="46">
        <f>'Tiltag 1'!G17</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37" t="s">
        <v>143</v>
      </c>
      <c r="D11" s="438">
        <v>0.84</v>
      </c>
      <c r="E11" s="439">
        <v>0.86</v>
      </c>
      <c r="F11" s="439">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+INDEX(D42:D46,MATCH(#REF!,C42:C46,0),MATCH(C6,D41,1))</f>
        <v>#REF!</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c r="C78" s="38"/>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#REF!</v>
      </c>
    </row>
    <row r="88" spans="2:3" x14ac:dyDescent="0.25">
      <c r="B88" t="s">
        <v>13</v>
      </c>
      <c r="C88" t="e">
        <f>C58</f>
        <v>#N/A</v>
      </c>
    </row>
    <row r="89" spans="2:3" x14ac:dyDescent="0.25">
      <c r="B89" t="s">
        <v>6</v>
      </c>
      <c r="C89" t="e">
        <f>C68</f>
        <v>#N/A</v>
      </c>
    </row>
    <row r="90" spans="2:3" x14ac:dyDescent="0.25">
      <c r="B90" t="s">
        <v>98</v>
      </c>
      <c r="C90" s="64">
        <f>IF(OR('Tiltag 1'!G16="Stenkul",'Tiltag 1'!G16="Koks"),'Virkningsgradsberegner (2)'!D76,)</f>
        <v>0</v>
      </c>
    </row>
    <row r="91" spans="2:3" x14ac:dyDescent="0.25">
      <c r="B91" t="s">
        <v>44</v>
      </c>
      <c r="C91" t="e">
        <f>+INDEX(C85:C90,MATCH(C4,B85:B90,0))*100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I109"/>
  <sheetViews>
    <sheetView workbookViewId="0"/>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0" t="s">
        <v>37</v>
      </c>
      <c r="O1" s="690"/>
      <c r="R1" s="690" t="s">
        <v>38</v>
      </c>
      <c r="S1" s="690"/>
    </row>
    <row r="2" spans="1:35" ht="42" customHeight="1" x14ac:dyDescent="0.25">
      <c r="C2" s="10"/>
      <c r="D2" s="10"/>
      <c r="G2" s="8"/>
      <c r="H2" s="28" t="s">
        <v>20</v>
      </c>
      <c r="M2" s="11" t="e">
        <f>IF(N4=D3,1,IF(N5=D3,2,IF(N6=D3,3,IF(N7=D3,4,IF(N8=D3,5,IF(N9=D3,6,IF(N10=D3,7,"")))))))</f>
        <v>#N/A</v>
      </c>
      <c r="N2" s="10" t="e">
        <f>VLOOKUP(M2,M4:O10,2)</f>
        <v>#N/A</v>
      </c>
      <c r="O2" s="10" t="e">
        <f>VLOOKUP(M2,M4:O10,3)</f>
        <v>#N/A</v>
      </c>
      <c r="Q2" s="11" t="e">
        <f>IF(R4=F55,1,IF(R5=F55,2,IF(R6=F55,3,IF(R7=F55,4,IF(R8=F55,5,IF(R9=F55,6,IF(R10=F55,7,"")))))))</f>
        <v>#N/A</v>
      </c>
      <c r="R2" s="7" t="e">
        <f>VLOOKUP(Q2,Q4:S10,2)</f>
        <v>#N/A</v>
      </c>
      <c r="S2" s="7" t="e">
        <f>VLOOKUP(Q2,Q4:S10,3)</f>
        <v>#N/A</v>
      </c>
      <c r="AB2" s="10" t="s">
        <v>1</v>
      </c>
      <c r="AC2" s="10">
        <v>0.01</v>
      </c>
    </row>
    <row r="3" spans="1:35" ht="15" customHeight="1" x14ac:dyDescent="0.25">
      <c r="A3" s="7" t="s">
        <v>209</v>
      </c>
      <c r="C3" s="7" t="s">
        <v>0</v>
      </c>
      <c r="D3" s="7" t="e">
        <f>VLOOKUP(E3,E95:G102,3,FALSE)</f>
        <v>#N/A</v>
      </c>
      <c r="E3" s="7">
        <f>'Tiltag 5'!G15</f>
        <v>0</v>
      </c>
      <c r="F3" s="131" t="e">
        <f>O2</f>
        <v>#N/A</v>
      </c>
      <c r="G3" s="8"/>
    </row>
    <row r="4" spans="1:35" ht="15" customHeight="1" x14ac:dyDescent="0.25">
      <c r="A4" s="128" t="e">
        <f>IF(#REF!&lt;&gt;1,"Fejl",VLOOKUP(1,#REF!,4,FALSE))</f>
        <v>#REF!</v>
      </c>
      <c r="C4" s="7" t="s">
        <v>1</v>
      </c>
      <c r="D4" s="129">
        <f>'Tiltag 5'!G17</f>
        <v>0</v>
      </c>
      <c r="F4" s="132" t="e">
        <f xml:space="preserve"> 0.0043*LN(D4) + 0.93</f>
        <v>#NUM!</v>
      </c>
      <c r="G4" s="8"/>
      <c r="M4" s="7">
        <v>1</v>
      </c>
      <c r="N4" s="7" t="s">
        <v>6</v>
      </c>
      <c r="O4" s="14">
        <f ca="1">O12</f>
        <v>0.51843511609559978</v>
      </c>
      <c r="Q4" s="7">
        <v>1</v>
      </c>
      <c r="R4" s="7" t="s">
        <v>6</v>
      </c>
      <c r="S4" s="14">
        <f ca="1">S12</f>
        <v>0.99039999999999995</v>
      </c>
      <c r="AB4" s="7">
        <v>1000</v>
      </c>
      <c r="AC4" s="14">
        <v>0.96</v>
      </c>
    </row>
    <row r="5" spans="1:35" ht="15" customHeight="1" x14ac:dyDescent="0.25">
      <c r="A5" s="128"/>
      <c r="C5" s="7" t="s">
        <v>2</v>
      </c>
      <c r="D5" s="129">
        <f ca="1">C17-'Tiltag 5'!G16</f>
        <v>2023</v>
      </c>
      <c r="F5" s="8"/>
      <c r="G5" s="8"/>
      <c r="K5" s="15" t="str">
        <f>IF(N4=E3,1,IF(N5=E3,2,IF(N6=E3,3,IF(N7=E3,4,IF(N8=E3,5,"")))))</f>
        <v/>
      </c>
      <c r="M5" s="7">
        <v>2</v>
      </c>
      <c r="N5" s="7" t="s">
        <v>12</v>
      </c>
      <c r="O5" s="14">
        <f ca="1">O21</f>
        <v>0.47517343190976091</v>
      </c>
      <c r="Q5" s="7">
        <v>2</v>
      </c>
      <c r="R5" s="7" t="s">
        <v>12</v>
      </c>
      <c r="S5" s="14">
        <f ca="1">S21</f>
        <v>0.98519999999999996</v>
      </c>
      <c r="AB5" s="7">
        <v>100</v>
      </c>
      <c r="AC5" s="14">
        <f>AC4-AC2</f>
        <v>0.95</v>
      </c>
    </row>
    <row r="6" spans="1:35" ht="15" customHeight="1" x14ac:dyDescent="0.25">
      <c r="A6" s="128"/>
      <c r="C6" s="7" t="s">
        <v>3</v>
      </c>
      <c r="D6" s="129" t="e">
        <f>'Virkningsgradsberegner 5'!C91/100</f>
        <v>#N/A</v>
      </c>
      <c r="G6" s="8"/>
      <c r="H6" s="8"/>
      <c r="I6" s="8"/>
      <c r="J6" s="8"/>
      <c r="K6" s="8"/>
      <c r="L6" s="8"/>
      <c r="M6" s="7">
        <v>3</v>
      </c>
      <c r="N6" s="7" t="s">
        <v>13</v>
      </c>
      <c r="O6" s="14">
        <f ca="1">O30</f>
        <v>0.46308576874692875</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0.3634870740495868</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0.49803511609559975</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0.50519809558409645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0.47517343190976091</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0.51843511609559978</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7"/>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2023</v>
      </c>
      <c r="D17" s="7">
        <f ca="1">C17-3</f>
        <v>2020</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0.47517343190976091</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0.46308576874692875</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0.3634870740495868</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f>IF(OR('Tiltag 2'!G29="Fyringsolie",'Tiltag 2'!G29="Heavy Fuel Oil"),"Olie",E47)</f>
        <v>0</v>
      </c>
      <c r="E47" s="7">
        <f>'Tiltag 2'!G29</f>
        <v>0</v>
      </c>
      <c r="F47" s="12" t="e">
        <f>S2</f>
        <v>#N/A</v>
      </c>
    </row>
    <row r="48" spans="3:19" ht="15" customHeight="1" x14ac:dyDescent="0.25">
      <c r="C48" s="7" t="s">
        <v>1</v>
      </c>
      <c r="D48" s="7">
        <f>'Tiltag 2'!G30</f>
        <v>0</v>
      </c>
      <c r="F48" s="13" t="e">
        <f xml:space="preserve"> 0.0043*LN(D48) + 0.93</f>
        <v>#NUM!</v>
      </c>
      <c r="N48" s="10" t="s">
        <v>14</v>
      </c>
      <c r="O48" s="10">
        <f ca="1">-0.062*LN(D5) + 0.97</f>
        <v>0.49803511609559975</v>
      </c>
      <c r="P48" s="7">
        <v>0.95</v>
      </c>
      <c r="R48" s="10" t="s">
        <v>14</v>
      </c>
      <c r="S48" s="10">
        <f ca="1">-0.062*LN(C17-D49+1) + 0.97</f>
        <v>0.97</v>
      </c>
    </row>
    <row r="49" spans="1:19" ht="15" customHeight="1" x14ac:dyDescent="0.25">
      <c r="C49" s="7" t="s">
        <v>2</v>
      </c>
      <c r="D49" s="7">
        <f ca="1">C17</f>
        <v>2023</v>
      </c>
    </row>
    <row r="50" spans="1:19" ht="15" customHeight="1" x14ac:dyDescent="0.25">
      <c r="C50" s="7" t="s">
        <v>3</v>
      </c>
      <c r="D50" s="7">
        <f>'Tiltag 2'!G31</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c r="E55" s="7">
        <f>IF(OR('Tiltag 1'!G33="Fyringsolie",'Tiltag 1'!G33="Heavy Fuel Oil"),"Olie",'Tiltag 1'!G16)</f>
        <v>0</v>
      </c>
      <c r="F55" s="7" t="e">
        <f>VLOOKUP(D47,E95:G105,3,FALSE)</f>
        <v>#N/A</v>
      </c>
    </row>
    <row r="57" spans="1:19" ht="15" customHeight="1" x14ac:dyDescent="0.25">
      <c r="C57" s="16" t="s">
        <v>8</v>
      </c>
      <c r="D57" s="7" t="e">
        <f>F48</f>
        <v>#NUM!</v>
      </c>
      <c r="N57" s="10" t="s">
        <v>15</v>
      </c>
      <c r="O57" s="10">
        <f ca="1">-0.065*LN(D5) + 0.99999999</f>
        <v>0.50519809558409645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0.47517343190976091</v>
      </c>
    </row>
    <row r="66" spans="2:15" ht="15" customHeight="1" x14ac:dyDescent="0.25">
      <c r="N66" s="7">
        <v>1</v>
      </c>
      <c r="O66" s="14">
        <f xml:space="preserve"> -0.067*LN(1) + 0.9852</f>
        <v>0.98519999999999996</v>
      </c>
    </row>
    <row r="67" spans="2:15" ht="15" customHeight="1" x14ac:dyDescent="0.25">
      <c r="N67" s="7">
        <v>10</v>
      </c>
      <c r="O67" s="14">
        <f xml:space="preserve"> -0.067*LN(10) + 0.9852</f>
        <v>0.8309267987693989</v>
      </c>
    </row>
    <row r="68" spans="2:15" ht="15" customHeight="1" x14ac:dyDescent="0.25">
      <c r="N68" s="7">
        <v>30</v>
      </c>
      <c r="O68" s="14">
        <f xml:space="preserve"> -0.067*LN(30) + 0.9852</f>
        <v>0.7573197754286356</v>
      </c>
    </row>
    <row r="69" spans="2:15" ht="15" customHeight="1" x14ac:dyDescent="0.25">
      <c r="B69" s="685" t="s">
        <v>49</v>
      </c>
      <c r="C69" s="686"/>
      <c r="D69" s="119"/>
    </row>
    <row r="70" spans="2:15" ht="15" customHeight="1" x14ac:dyDescent="0.25">
      <c r="B70" s="120" t="s">
        <v>0</v>
      </c>
      <c r="C70" s="121" t="e">
        <f>VLOOKUP(A64,E95:G102,2,FALSE)</f>
        <v>#N/A</v>
      </c>
      <c r="D70" s="123"/>
      <c r="E70" s="687" t="s">
        <v>28</v>
      </c>
      <c r="F70" s="688"/>
      <c r="G70" s="689"/>
      <c r="H70" s="19"/>
      <c r="I70" s="19"/>
      <c r="J70" s="20"/>
      <c r="K70" s="19"/>
      <c r="L70" s="19"/>
      <c r="M70" s="19"/>
    </row>
    <row r="71" spans="2:15" ht="15" customHeight="1" x14ac:dyDescent="0.25">
      <c r="B71" s="120" t="s">
        <v>35</v>
      </c>
      <c r="C71" s="121" t="e">
        <f>INDEX(F71:F77,MATCH(C70,E71:E77,0))</f>
        <v>#N/A</v>
      </c>
      <c r="D71" s="123" t="e">
        <f>IF(C70="Olie","kWh/Liter",IF(C70="Naturgas","kWh/Nm3","kWh/Kg"))</f>
        <v>#N/A</v>
      </c>
      <c r="E71" s="21" t="s">
        <v>29</v>
      </c>
      <c r="F71" s="21">
        <v>11</v>
      </c>
      <c r="G71" s="22" t="s">
        <v>30</v>
      </c>
      <c r="H71" s="23" t="s">
        <v>31</v>
      </c>
      <c r="I71" s="19"/>
      <c r="J71" s="20"/>
      <c r="K71" s="19"/>
      <c r="L71" s="19"/>
      <c r="M71" s="19"/>
    </row>
    <row r="72" spans="2:15" ht="15" customHeight="1" x14ac:dyDescent="0.25">
      <c r="B72" s="120"/>
      <c r="C72" s="121"/>
      <c r="D72" s="123"/>
      <c r="E72" s="21" t="s">
        <v>204</v>
      </c>
      <c r="F72" s="21">
        <v>9.8699999999999992</v>
      </c>
      <c r="G72" s="22" t="s">
        <v>32</v>
      </c>
      <c r="H72" s="23" t="s">
        <v>31</v>
      </c>
      <c r="I72" s="19"/>
      <c r="J72" s="20"/>
      <c r="K72" s="19"/>
      <c r="L72" s="19"/>
      <c r="M72" s="19"/>
    </row>
    <row r="73" spans="2:15" ht="15" customHeight="1" x14ac:dyDescent="0.25">
      <c r="B73" s="120" t="s">
        <v>36</v>
      </c>
      <c r="C73" s="121" t="e">
        <f>'Tiltag 1'!#REF!</f>
        <v>#REF!</v>
      </c>
      <c r="D73" s="123" t="e">
        <f>IF(C70="Olie","Liter",IF(C70="Naturgas","Nm3","Kg"))</f>
        <v>#N/A</v>
      </c>
      <c r="E73" s="21" t="s">
        <v>13</v>
      </c>
      <c r="F73" s="21">
        <v>3.83</v>
      </c>
      <c r="G73" s="22" t="s">
        <v>33</v>
      </c>
      <c r="H73" s="23" t="s">
        <v>31</v>
      </c>
      <c r="I73" s="19"/>
      <c r="J73" s="20"/>
      <c r="K73" s="19"/>
      <c r="L73" s="19"/>
      <c r="M73" s="19"/>
    </row>
    <row r="74" spans="2:15" ht="15" customHeight="1" x14ac:dyDescent="0.25">
      <c r="B74" s="120"/>
      <c r="C74" s="121"/>
      <c r="D74" s="123"/>
      <c r="E74" s="21" t="s">
        <v>6</v>
      </c>
      <c r="F74" s="21">
        <v>4.67</v>
      </c>
      <c r="G74" s="22" t="s">
        <v>33</v>
      </c>
      <c r="H74" s="23" t="s">
        <v>31</v>
      </c>
      <c r="I74" s="19"/>
      <c r="J74" s="20"/>
      <c r="K74" s="19"/>
      <c r="L74" s="19"/>
      <c r="M74" s="19"/>
    </row>
    <row r="75" spans="2:15" ht="15" customHeight="1" x14ac:dyDescent="0.25">
      <c r="B75" s="120" t="s">
        <v>39</v>
      </c>
      <c r="C75" s="121" t="e">
        <f>IF('Tiltag 1'!G28="Ja",Graddageberegner!E27,Graddageberegner!C27)</f>
        <v>#N/A</v>
      </c>
      <c r="D75" s="123" t="s">
        <v>41</v>
      </c>
      <c r="E75" s="21" t="s">
        <v>121</v>
      </c>
      <c r="F75" s="113">
        <v>6.6150000000000002</v>
      </c>
      <c r="G75" s="22" t="s">
        <v>33</v>
      </c>
      <c r="H75" s="23" t="s">
        <v>31</v>
      </c>
      <c r="I75" s="19"/>
      <c r="J75" s="20"/>
      <c r="K75" s="19"/>
      <c r="L75" s="19"/>
      <c r="M75" s="19"/>
    </row>
    <row r="76" spans="2:15" ht="15" customHeight="1" x14ac:dyDescent="0.25">
      <c r="B76" s="120"/>
      <c r="C76" s="121"/>
      <c r="D76" s="123"/>
      <c r="E76" s="21" t="s">
        <v>122</v>
      </c>
      <c r="F76" s="21">
        <v>7.92</v>
      </c>
      <c r="G76" s="22" t="s">
        <v>33</v>
      </c>
      <c r="H76" s="23" t="s">
        <v>31</v>
      </c>
      <c r="I76" s="19"/>
      <c r="J76" s="19"/>
      <c r="K76" s="19"/>
      <c r="L76" s="19"/>
      <c r="M76" s="19"/>
    </row>
    <row r="77" spans="2:15" ht="15" customHeight="1" x14ac:dyDescent="0.15">
      <c r="B77" s="124" t="s">
        <v>40</v>
      </c>
      <c r="C77" s="125" t="e">
        <f>C75*(D14/100)</f>
        <v>#N/A</v>
      </c>
      <c r="D77" s="126" t="s">
        <v>41</v>
      </c>
      <c r="E77" s="21" t="s">
        <v>127</v>
      </c>
      <c r="F77" s="21">
        <v>10.89</v>
      </c>
      <c r="G77" s="22" t="s">
        <v>32</v>
      </c>
    </row>
    <row r="78" spans="2:15" ht="15" customHeight="1" x14ac:dyDescent="0.15">
      <c r="E78" s="24" t="s">
        <v>5</v>
      </c>
      <c r="F78" s="114">
        <v>4.0277777777777777</v>
      </c>
      <c r="G78" s="25" t="s">
        <v>33</v>
      </c>
      <c r="I78" s="7" t="s">
        <v>120</v>
      </c>
    </row>
    <row r="79" spans="2:15" ht="15" customHeight="1" x14ac:dyDescent="0.25">
      <c r="I79" s="7" t="s">
        <v>122</v>
      </c>
      <c r="J79" s="7">
        <v>7.92</v>
      </c>
    </row>
    <row r="80" spans="2:15" ht="15" customHeight="1" x14ac:dyDescent="0.25">
      <c r="B80" s="685" t="s">
        <v>48</v>
      </c>
      <c r="C80" s="686"/>
      <c r="D80" s="119"/>
      <c r="I80" s="7" t="s">
        <v>123</v>
      </c>
      <c r="J80" s="7">
        <v>4.7</v>
      </c>
    </row>
    <row r="81" spans="2:14" ht="15" customHeight="1" x14ac:dyDescent="0.15">
      <c r="B81" s="120" t="s">
        <v>0</v>
      </c>
      <c r="C81" s="121">
        <f>E47</f>
        <v>0</v>
      </c>
      <c r="D81" s="123"/>
      <c r="I81" s="7" t="s">
        <v>124</v>
      </c>
      <c r="J81" s="7">
        <v>8.5299999999999994</v>
      </c>
      <c r="M81" s="21" t="s">
        <v>29</v>
      </c>
      <c r="N81" s="7" t="str">
        <f>LOWER(M81)</f>
        <v>naturgas</v>
      </c>
    </row>
    <row r="82" spans="2:14" ht="15" customHeight="1" x14ac:dyDescent="0.15">
      <c r="B82" s="120" t="s">
        <v>35</v>
      </c>
      <c r="C82" s="121" t="e">
        <f>IF(C81="Varmepumpe","",IF(C81="Fjernvarme","",IF(C81="Elkedel","",INDEX(F71:F83,MATCH(C81,E71:E83,0)))))</f>
        <v>#N/A</v>
      </c>
      <c r="D82" s="123" t="str">
        <f>IF(C81="Olie","kWh/Liter",IF(C81="Naturgas","kWh/Nm3","kWh/Kg"))</f>
        <v>kWh/Kg</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13</v>
      </c>
      <c r="N83" s="7" t="str">
        <f t="shared" si="0"/>
        <v>flis</v>
      </c>
    </row>
    <row r="84" spans="2:14" ht="15" customHeight="1" x14ac:dyDescent="0.15">
      <c r="B84" s="120" t="s">
        <v>133</v>
      </c>
      <c r="C84" s="121" t="e">
        <f>C77</f>
        <v>#N/A</v>
      </c>
      <c r="D84" s="123" t="s">
        <v>41</v>
      </c>
      <c r="E84" s="117" t="s">
        <v>118</v>
      </c>
      <c r="F84" s="7">
        <v>1</v>
      </c>
      <c r="M84" s="21" t="s">
        <v>6</v>
      </c>
      <c r="N84" s="7" t="str">
        <f t="shared" si="0"/>
        <v>træpiller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IF(C81="Varmepumpe",C84/'Tiltag 1'!G35,IF(C81="Fjernvarme",C84,IF(C81="Elkedel",C84,C84/(C103/100))))</f>
        <v>#N/A</v>
      </c>
      <c r="D86" s="123" t="s">
        <v>41</v>
      </c>
      <c r="E86" s="21" t="s">
        <v>126</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str">
        <f>IF(C81="Olie","Liter",IF(C81="Naturgas","Nm3","Kg"))</f>
        <v>Kg</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f>IF(C81="Fjernvarme","",'Tiltag 1'!G37)</f>
        <v>0</v>
      </c>
      <c r="D90" s="126"/>
      <c r="E90" s="118" t="s">
        <v>127</v>
      </c>
      <c r="M90" s="7" t="s">
        <v>135</v>
      </c>
      <c r="N90" s="7" t="e">
        <f>VLOOKUP('Tiltag 1'!G16,'Forbrugsberegner 5'!M81:N88,2,FALSE)</f>
        <v>#N/A</v>
      </c>
    </row>
    <row r="91" spans="2:14" ht="15" customHeight="1" x14ac:dyDescent="0.15">
      <c r="E91" s="21" t="s">
        <v>121</v>
      </c>
    </row>
    <row r="92" spans="2:14" ht="15" customHeight="1" x14ac:dyDescent="0.15">
      <c r="B92" s="685" t="s">
        <v>43</v>
      </c>
      <c r="C92" s="686"/>
      <c r="D92" s="119"/>
      <c r="E92" s="21" t="s">
        <v>122</v>
      </c>
    </row>
    <row r="93" spans="2:14" ht="15" customHeight="1" x14ac:dyDescent="0.25">
      <c r="B93" s="120" t="s">
        <v>46</v>
      </c>
      <c r="C93" s="121" t="e">
        <f>VLOOKUP(A64,E95:G105,2,FALSE)</f>
        <v>#N/A</v>
      </c>
      <c r="D93" s="123"/>
    </row>
    <row r="94" spans="2:14" ht="15" customHeight="1" x14ac:dyDescent="0.25">
      <c r="B94" s="120" t="s">
        <v>35</v>
      </c>
      <c r="C94" s="121" t="e">
        <f>INDEX(F71:F77,MATCH(C70,E71:E77,0))</f>
        <v>#N/A</v>
      </c>
      <c r="D94" s="123" t="e">
        <f>IF(C93="Fyringsolie","kWh/Liter",IF(C93="Naturgas","kWh/Nm3","kWh/Kg"))</f>
        <v>#N/A</v>
      </c>
      <c r="E94" s="261" t="s">
        <v>202</v>
      </c>
      <c r="F94" s="7" t="s">
        <v>203</v>
      </c>
      <c r="G94" s="261" t="s">
        <v>363</v>
      </c>
    </row>
    <row r="95" spans="2:14" ht="15" customHeight="1" x14ac:dyDescent="0.25">
      <c r="B95" s="120"/>
      <c r="C95" s="121"/>
      <c r="D95" s="123"/>
      <c r="E95" s="7" t="s">
        <v>194</v>
      </c>
      <c r="F95" s="7" t="s">
        <v>29</v>
      </c>
      <c r="G95" s="7" t="s">
        <v>29</v>
      </c>
    </row>
    <row r="96" spans="2:14" ht="15" customHeight="1" x14ac:dyDescent="0.25">
      <c r="B96" s="120" t="s">
        <v>1</v>
      </c>
      <c r="C96" s="121">
        <f>D4</f>
        <v>0</v>
      </c>
      <c r="D96" s="123" t="s">
        <v>22</v>
      </c>
      <c r="E96" s="7" t="s">
        <v>195</v>
      </c>
      <c r="F96" s="7" t="s">
        <v>204</v>
      </c>
      <c r="G96" s="7" t="s">
        <v>14</v>
      </c>
    </row>
    <row r="97" spans="2:7" ht="15" customHeight="1" x14ac:dyDescent="0.25">
      <c r="B97" s="120" t="s">
        <v>136</v>
      </c>
      <c r="C97" s="121">
        <f>C96*8760</f>
        <v>0</v>
      </c>
      <c r="D97" s="123" t="s">
        <v>41</v>
      </c>
      <c r="E97" s="7" t="s">
        <v>196</v>
      </c>
      <c r="F97" s="7" t="s">
        <v>338</v>
      </c>
      <c r="G97" s="7" t="s">
        <v>13</v>
      </c>
    </row>
    <row r="98" spans="2:7" ht="15" customHeight="1" x14ac:dyDescent="0.25">
      <c r="B98" s="124" t="s">
        <v>137</v>
      </c>
      <c r="C98" s="125" t="e">
        <f>C97/C94</f>
        <v>#N/A</v>
      </c>
      <c r="D98" s="126" t="e">
        <f>IF(C93="Fyringsolie","Liter",IF(C93="Naturgas","Nm3","Kg"))</f>
        <v>#N/A</v>
      </c>
      <c r="E98" s="7" t="s">
        <v>197</v>
      </c>
      <c r="F98" s="7" t="s">
        <v>340</v>
      </c>
      <c r="G98" s="7" t="s">
        <v>6</v>
      </c>
    </row>
    <row r="99" spans="2:7" ht="15" customHeight="1" x14ac:dyDescent="0.25">
      <c r="E99" s="7" t="s">
        <v>201</v>
      </c>
      <c r="F99" s="7" t="s">
        <v>5</v>
      </c>
      <c r="G99" s="7" t="s">
        <v>5</v>
      </c>
    </row>
    <row r="100" spans="2:7" ht="15" customHeight="1" x14ac:dyDescent="0.25">
      <c r="B100" s="685" t="s">
        <v>87</v>
      </c>
      <c r="C100" s="686"/>
      <c r="D100" s="119"/>
      <c r="E100" s="7" t="s">
        <v>169</v>
      </c>
      <c r="F100" s="7" t="s">
        <v>29</v>
      </c>
      <c r="G100" s="7" t="s">
        <v>29</v>
      </c>
    </row>
    <row r="101" spans="2:7" ht="15" customHeight="1" x14ac:dyDescent="0.25">
      <c r="B101" s="120" t="s">
        <v>47</v>
      </c>
      <c r="C101" s="121">
        <f>'Tiltag 1'!G35</f>
        <v>0</v>
      </c>
      <c r="D101" s="122" t="s">
        <v>23</v>
      </c>
      <c r="E101" s="7" t="s">
        <v>170</v>
      </c>
      <c r="F101" s="7" t="s">
        <v>204</v>
      </c>
      <c r="G101" s="7" t="s">
        <v>14</v>
      </c>
    </row>
    <row r="102" spans="2:7" ht="15" customHeight="1" x14ac:dyDescent="0.25">
      <c r="B102" s="120" t="s">
        <v>45</v>
      </c>
      <c r="C102" s="121">
        <f>'Tiltag 1'!G34</f>
        <v>0</v>
      </c>
      <c r="D102" s="123" t="s">
        <v>22</v>
      </c>
      <c r="E102" s="7" t="s">
        <v>171</v>
      </c>
      <c r="F102" s="7" t="s">
        <v>29</v>
      </c>
      <c r="G102" s="7" t="s">
        <v>29</v>
      </c>
    </row>
    <row r="103" spans="2:7" ht="15" customHeight="1" x14ac:dyDescent="0.25">
      <c r="B103" s="124" t="s">
        <v>50</v>
      </c>
      <c r="C103" s="125" t="e">
        <f>IF(C81="Varmepumpe","",IF(C81="Fjernvarme","",IF(C81="Elkedel","",C101*(0.0043*LN(C102)+0.93))))</f>
        <v>#NUM!</v>
      </c>
      <c r="D103" s="126" t="s">
        <v>23</v>
      </c>
      <c r="E103" s="7" t="s">
        <v>52</v>
      </c>
      <c r="F103" s="7" t="s">
        <v>52</v>
      </c>
      <c r="G103" s="7" t="s">
        <v>52</v>
      </c>
    </row>
    <row r="104" spans="2:7" ht="15" customHeight="1" x14ac:dyDescent="0.25">
      <c r="E104" s="7" t="s">
        <v>51</v>
      </c>
      <c r="F104" s="7" t="s">
        <v>216</v>
      </c>
      <c r="G104" s="7" t="s">
        <v>216</v>
      </c>
    </row>
    <row r="105" spans="2:7" ht="15" customHeight="1" x14ac:dyDescent="0.25">
      <c r="E105" s="7" t="s">
        <v>118</v>
      </c>
      <c r="F105" s="7" t="s">
        <v>216</v>
      </c>
      <c r="G105" s="7" t="s">
        <v>216</v>
      </c>
    </row>
    <row r="107" spans="2:7" ht="15" customHeight="1" x14ac:dyDescent="0.25">
      <c r="B107" s="7" t="s">
        <v>132</v>
      </c>
      <c r="C107" s="7">
        <f>IF(OR('Tiltag 1'!G33="Elkedel",'Tiltag 1'!G33="Varmepumpe"),"Elektricitet",'Tiltag 1'!G33)</f>
        <v>0</v>
      </c>
    </row>
    <row r="108" spans="2:7" ht="15" customHeight="1" x14ac:dyDescent="0.25">
      <c r="B108" s="7" t="s">
        <v>129</v>
      </c>
      <c r="C108" s="7">
        <f>IF('Tiltag 1'!G16="Fyringsolie","Gas-/dieselolie",IF('Tiltag 1'!G16="Heavy Fuel Oil","Fuelolie",IF('Tiltag 1'!G16="Flis","Skovflis",'Tiltag 1'!G16)))</f>
        <v>0</v>
      </c>
    </row>
    <row r="109" spans="2:7" ht="15" customHeight="1" x14ac:dyDescent="0.25">
      <c r="B109" s="7" t="s">
        <v>130</v>
      </c>
      <c r="C109" s="7">
        <f>IF('Tiltag 1'!G33="Fyringsolie","Gas-/dieselolie",IF('Tiltag 1'!G33="Flis","Skovflis",IF(OR('Tiltag 1'!G33="Elkedel",'Tiltag 1'!G33="Varmepumpe"),"Elektricitet",'Tiltag 1'!G33)))</f>
        <v>0</v>
      </c>
    </row>
  </sheetData>
  <sheetProtection selectLockedCells="1" selectUnlockedCells="1"/>
  <mergeCells count="7">
    <mergeCell ref="B100:C100"/>
    <mergeCell ref="N1:O1"/>
    <mergeCell ref="R1:S1"/>
    <mergeCell ref="B69:C69"/>
    <mergeCell ref="E70:G70"/>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O91"/>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5'!D4</f>
        <v>0</v>
      </c>
    </row>
    <row r="4" spans="1:13" x14ac:dyDescent="0.25">
      <c r="B4" s="206" t="s">
        <v>61</v>
      </c>
      <c r="C4" s="207" t="e">
        <f>'Forbrugsberegner 5'!D3</f>
        <v>#N/A</v>
      </c>
      <c r="K4">
        <f ca="1">YEAR(TODAY())</f>
        <v>2023</v>
      </c>
    </row>
    <row r="5" spans="1:13" x14ac:dyDescent="0.25">
      <c r="B5" s="206" t="s">
        <v>68</v>
      </c>
      <c r="C5" s="46">
        <f>'Tiltag 5'!G16</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37" t="s">
        <v>143</v>
      </c>
      <c r="D11" s="438">
        <v>0.84</v>
      </c>
      <c r="E11" s="439">
        <v>0.86</v>
      </c>
      <c r="F11" s="439">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+INDEX(D42:D46,MATCH(M13,C42:C46,0),MATCH(C6,D41,1))</f>
        <v>#N/A</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c r="C78" s="38"/>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#N/A</v>
      </c>
    </row>
    <row r="88" spans="2:3" x14ac:dyDescent="0.25">
      <c r="B88" t="s">
        <v>13</v>
      </c>
      <c r="C88" t="e">
        <f>C58</f>
        <v>#N/A</v>
      </c>
    </row>
    <row r="89" spans="2:3" x14ac:dyDescent="0.25">
      <c r="B89" t="s">
        <v>6</v>
      </c>
      <c r="C89" t="e">
        <f>C68</f>
        <v>#N/A</v>
      </c>
    </row>
    <row r="90" spans="2:3" x14ac:dyDescent="0.25">
      <c r="B90" t="s">
        <v>98</v>
      </c>
      <c r="C90" s="64">
        <f>IF(OR('Tiltag 1'!G16="Stenkul",'Tiltag 1'!G16="Koks"),'Virkningsgradsberegner 5'!D76,)</f>
        <v>0</v>
      </c>
    </row>
    <row r="91" spans="2:3" x14ac:dyDescent="0.25">
      <c r="B91" t="s">
        <v>44</v>
      </c>
      <c r="C91" t="e">
        <f>+INDEX(C85:C90,MATCH(C4,B85:B90,0))*100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62"/>
  <sheetViews>
    <sheetView workbookViewId="0">
      <selection activeCell="E19" sqref="E19"/>
    </sheetView>
  </sheetViews>
  <sheetFormatPr defaultRowHeight="15" x14ac:dyDescent="0.25"/>
  <cols>
    <col min="2" max="2" width="29.140625" bestFit="1" customWidth="1"/>
    <col min="3" max="3" width="27.42578125" bestFit="1" customWidth="1"/>
    <col min="4" max="4" width="27" bestFit="1" customWidth="1"/>
    <col min="5" max="5" width="29.140625" bestFit="1" customWidth="1"/>
    <col min="6" max="8" width="12.7109375" customWidth="1"/>
    <col min="9" max="9" width="22" customWidth="1"/>
    <col min="10" max="10" width="10.85546875" customWidth="1"/>
    <col min="11" max="11" width="11" bestFit="1" customWidth="1"/>
    <col min="14" max="14" width="26.28515625" customWidth="1"/>
    <col min="15" max="15" width="15.28515625" customWidth="1"/>
    <col min="16" max="16" width="14.5703125" customWidth="1"/>
    <col min="26" max="26" width="13.28515625" bestFit="1" customWidth="1"/>
  </cols>
  <sheetData>
    <row r="1" spans="2:28" x14ac:dyDescent="0.25">
      <c r="H1" s="227"/>
      <c r="I1" s="227"/>
      <c r="J1" s="227"/>
      <c r="K1" s="227"/>
    </row>
    <row r="2" spans="2:28" ht="18.75" x14ac:dyDescent="0.3">
      <c r="H2" s="227"/>
      <c r="I2" s="692"/>
      <c r="J2" s="692"/>
      <c r="K2" s="692"/>
      <c r="N2" s="691" t="s">
        <v>176</v>
      </c>
      <c r="O2" s="691"/>
      <c r="P2" s="691"/>
      <c r="Q2" s="691"/>
      <c r="R2" s="691"/>
      <c r="T2" t="s">
        <v>19</v>
      </c>
    </row>
    <row r="3" spans="2:28" x14ac:dyDescent="0.25">
      <c r="H3" s="227"/>
      <c r="I3" s="228"/>
      <c r="J3" s="228"/>
      <c r="K3" s="228"/>
      <c r="T3" t="s">
        <v>20</v>
      </c>
    </row>
    <row r="4" spans="2:28" x14ac:dyDescent="0.25">
      <c r="H4" s="227"/>
      <c r="I4" s="228"/>
      <c r="J4" s="228"/>
      <c r="K4" s="228"/>
    </row>
    <row r="5" spans="2:28" x14ac:dyDescent="0.25">
      <c r="C5" t="s">
        <v>68</v>
      </c>
      <c r="D5" t="s">
        <v>2</v>
      </c>
      <c r="E5" t="s">
        <v>177</v>
      </c>
      <c r="F5" t="s">
        <v>174</v>
      </c>
      <c r="G5" t="s">
        <v>178</v>
      </c>
      <c r="H5" s="227"/>
      <c r="I5" s="228"/>
      <c r="J5" s="228"/>
      <c r="K5" s="228"/>
    </row>
    <row r="6" spans="2:28" x14ac:dyDescent="0.25">
      <c r="B6" t="s">
        <v>377</v>
      </c>
      <c r="C6">
        <f>'Tiltag 1'!G17</f>
        <v>0</v>
      </c>
      <c r="D6">
        <f ca="1">IF(C6="","",YEAR(TODAY())-C6)</f>
        <v>2023</v>
      </c>
      <c r="E6" s="229">
        <f>'Tiltag 1'!G18</f>
        <v>0</v>
      </c>
      <c r="F6" s="230" t="str">
        <f>IF(G6="Naturgas/LNG/LPG",O19,IF(G6="Olie",O45,""))</f>
        <v/>
      </c>
      <c r="G6" s="224" t="str">
        <f>IF('Tiltag 1'!G16='Forbrugsberegner 1'!E102,"Naturgas/LNG/LPG",IF('Tiltag 1'!G16='Forbrugsberegner 1'!E103,"Olie",""))</f>
        <v/>
      </c>
      <c r="H6" s="231"/>
      <c r="I6" s="228"/>
      <c r="J6" s="228"/>
      <c r="K6" s="228"/>
    </row>
    <row r="7" spans="2:28" x14ac:dyDescent="0.25">
      <c r="B7" t="s">
        <v>378</v>
      </c>
      <c r="C7">
        <f>'Tiltag 2'!G24</f>
        <v>0</v>
      </c>
      <c r="D7">
        <f ca="1">IF(C7="","",YEAR(TODAY())-C7)</f>
        <v>2023</v>
      </c>
      <c r="E7" s="229">
        <f>'Tiltag 2'!G25</f>
        <v>0</v>
      </c>
      <c r="F7" s="230" t="str">
        <f>IF(G7="Naturgas/LNG/LPG",O23,IF(G7="Olie",O49,""))</f>
        <v/>
      </c>
      <c r="G7" s="224" t="str">
        <f>IF('Tiltag 2'!G23='Forbrugsberegner 2'!E100,"Naturgas/LNG/LPG",IF('Tiltag 2'!G23='Forbrugsberegner 2'!E101,"Olie",""))</f>
        <v/>
      </c>
      <c r="H7" s="231"/>
      <c r="I7" s="228"/>
      <c r="J7" s="228"/>
      <c r="K7" s="228"/>
    </row>
    <row r="8" spans="2:28" x14ac:dyDescent="0.25">
      <c r="B8" t="s">
        <v>226</v>
      </c>
      <c r="C8">
        <f>'Tiltag 6'!C19:D19</f>
        <v>0</v>
      </c>
      <c r="D8">
        <f t="shared" ref="D8:D14" ca="1" si="0">IF(C8="","",YEAR(TODAY())-C8)</f>
        <v>2023</v>
      </c>
      <c r="E8">
        <f>'Tiltag 6'!C20</f>
        <v>0</v>
      </c>
      <c r="F8" s="230" t="str">
        <f>IF(G8="Gaskalorifer",O20,IF(G8="Oliekalorifer",O46,""))</f>
        <v/>
      </c>
      <c r="G8" s="224">
        <f>'Tiltag 6'!C18</f>
        <v>0</v>
      </c>
      <c r="H8" s="231"/>
      <c r="I8" s="228"/>
      <c r="J8" s="228"/>
      <c r="K8" s="228"/>
      <c r="N8" s="232" t="s">
        <v>29</v>
      </c>
    </row>
    <row r="9" spans="2:28" ht="15.75" thickBot="1" x14ac:dyDescent="0.3">
      <c r="B9" t="s">
        <v>224</v>
      </c>
      <c r="C9">
        <f>'Tiltag 6'!G19</f>
        <v>0</v>
      </c>
      <c r="D9">
        <f t="shared" ca="1" si="0"/>
        <v>2023</v>
      </c>
      <c r="E9">
        <f>'Tiltag 6'!G20</f>
        <v>0</v>
      </c>
      <c r="F9" s="230" t="str">
        <f>IF(G9="Gaskalorifer",O21,IF(G9="Oliekalorifer",O47,""))</f>
        <v/>
      </c>
      <c r="G9" s="224">
        <f>'Tiltag 6'!G18</f>
        <v>0</v>
      </c>
      <c r="H9" s="231"/>
      <c r="I9" s="228"/>
      <c r="J9" s="233"/>
      <c r="K9" s="228"/>
      <c r="Z9" t="s">
        <v>179</v>
      </c>
    </row>
    <row r="10" spans="2:28" ht="15.75" thickBot="1" x14ac:dyDescent="0.3">
      <c r="B10" t="s">
        <v>225</v>
      </c>
      <c r="C10">
        <f>'Tiltag 6'!K19</f>
        <v>0</v>
      </c>
      <c r="D10">
        <f t="shared" ca="1" si="0"/>
        <v>2023</v>
      </c>
      <c r="E10">
        <f>'Tiltag 6'!K20</f>
        <v>0</v>
      </c>
      <c r="F10" s="230" t="str">
        <f>IF(G10="Gaskalorifer",O22,IF(G10="Oliekalorifer",O48,""))</f>
        <v/>
      </c>
      <c r="G10" s="224">
        <f>'Tiltag 6'!K18</f>
        <v>0</v>
      </c>
      <c r="H10" s="231"/>
      <c r="I10" s="234"/>
      <c r="J10" s="234"/>
      <c r="K10" s="234"/>
      <c r="N10" s="330" t="s">
        <v>2</v>
      </c>
      <c r="O10" s="331" t="s">
        <v>174</v>
      </c>
      <c r="P10" s="332" t="s">
        <v>175</v>
      </c>
    </row>
    <row r="11" spans="2:28" ht="15.75" thickBot="1" x14ac:dyDescent="0.3">
      <c r="D11" t="str">
        <f t="shared" ca="1" si="0"/>
        <v/>
      </c>
      <c r="F11" s="230"/>
      <c r="G11" s="224"/>
      <c r="H11" s="230"/>
      <c r="I11" s="7"/>
      <c r="J11" s="7"/>
      <c r="K11" s="7"/>
      <c r="N11" s="333">
        <v>0</v>
      </c>
      <c r="O11" s="334">
        <v>0.97</v>
      </c>
      <c r="P11" s="335">
        <f>Kalorifere!$N11*$N$28+0.9718</f>
        <v>0.9718</v>
      </c>
      <c r="Z11" s="235" t="s">
        <v>2</v>
      </c>
      <c r="AA11" s="236" t="s">
        <v>177</v>
      </c>
      <c r="AB11" s="237" t="s">
        <v>174</v>
      </c>
    </row>
    <row r="12" spans="2:28" x14ac:dyDescent="0.25">
      <c r="D12" t="str">
        <f t="shared" ca="1" si="0"/>
        <v/>
      </c>
      <c r="F12" s="230"/>
      <c r="G12" s="224"/>
      <c r="H12" s="230"/>
      <c r="N12" s="336">
        <v>10</v>
      </c>
      <c r="O12" s="337">
        <v>0.95</v>
      </c>
      <c r="P12" s="338">
        <f>Kalorifere!$N12*$N$28+0.9718</f>
        <v>0.93968739021329983</v>
      </c>
      <c r="Z12" s="66">
        <f ca="1">YEAR(TODAY())-1950</f>
        <v>73</v>
      </c>
      <c r="AA12" s="238"/>
      <c r="AB12" s="63">
        <v>0.85</v>
      </c>
    </row>
    <row r="13" spans="2:28" x14ac:dyDescent="0.25">
      <c r="D13" t="str">
        <f t="shared" ca="1" si="0"/>
        <v/>
      </c>
      <c r="F13" s="230" t="str">
        <f t="shared" ref="F13:F14" si="1">O25</f>
        <v/>
      </c>
      <c r="G13" s="230"/>
      <c r="H13" s="230"/>
      <c r="N13" s="339">
        <v>20</v>
      </c>
      <c r="O13" s="340">
        <v>0.92</v>
      </c>
      <c r="P13" s="341">
        <f>Kalorifere!$N13*$N$28+0.9718</f>
        <v>0.90757478042659978</v>
      </c>
      <c r="Z13" s="56">
        <v>50</v>
      </c>
      <c r="AA13" s="40"/>
      <c r="AB13" s="239">
        <v>0.85</v>
      </c>
    </row>
    <row r="14" spans="2:28" x14ac:dyDescent="0.25">
      <c r="D14" t="str">
        <f t="shared" ca="1" si="0"/>
        <v/>
      </c>
      <c r="F14" s="230" t="str">
        <f t="shared" si="1"/>
        <v/>
      </c>
      <c r="G14" s="230"/>
      <c r="H14" s="230"/>
      <c r="N14" s="336">
        <v>30</v>
      </c>
      <c r="O14" s="337">
        <v>0.88</v>
      </c>
      <c r="P14" s="338">
        <f>Kalorifere!$N14*$N$28+0.9718</f>
        <v>0.87546217063989962</v>
      </c>
      <c r="Z14" s="56">
        <v>40</v>
      </c>
      <c r="AA14" s="40"/>
      <c r="AB14" s="240">
        <v>0.88</v>
      </c>
    </row>
    <row r="15" spans="2:28" x14ac:dyDescent="0.25">
      <c r="F15" s="230"/>
      <c r="G15" s="230"/>
      <c r="H15" s="230"/>
      <c r="N15" s="339">
        <v>40</v>
      </c>
      <c r="O15" s="340">
        <v>0.83</v>
      </c>
      <c r="P15" s="341">
        <f>Kalorifere!$N15*$N$28+0.9718</f>
        <v>0.84334956085319956</v>
      </c>
      <c r="Z15" s="56">
        <v>30</v>
      </c>
      <c r="AA15" s="40"/>
      <c r="AB15" s="240">
        <v>0.91</v>
      </c>
    </row>
    <row r="16" spans="2:28" x14ac:dyDescent="0.25">
      <c r="N16" s="336">
        <v>50</v>
      </c>
      <c r="O16" s="337">
        <v>0.77</v>
      </c>
      <c r="P16" s="338">
        <f>Kalorifere!$N16*$N$28+0.9718</f>
        <v>0.8112369510664994</v>
      </c>
      <c r="Z16" s="56">
        <v>20</v>
      </c>
      <c r="AA16" s="40"/>
      <c r="AB16" s="240">
        <v>0.93</v>
      </c>
    </row>
    <row r="17" spans="2:28" ht="15.75" thickBot="1" x14ac:dyDescent="0.3">
      <c r="E17" s="229"/>
      <c r="F17" s="230"/>
      <c r="G17" s="230"/>
      <c r="H17" s="230"/>
      <c r="N17" s="342">
        <v>72</v>
      </c>
      <c r="O17" s="343">
        <v>0.77</v>
      </c>
      <c r="P17" s="344">
        <f>Kalorifere!$N17*$N$28+0.9718</f>
        <v>0.74058920953575913</v>
      </c>
      <c r="Z17" s="56">
        <v>10</v>
      </c>
      <c r="AA17" s="40"/>
      <c r="AB17" s="240">
        <v>0.96</v>
      </c>
    </row>
    <row r="18" spans="2:28" ht="15.75" thickBot="1" x14ac:dyDescent="0.3">
      <c r="B18" t="str">
        <f>IF('Tiltag 6'!C18="Vandbåren","","Naturgas/LNG/LPG")</f>
        <v>Naturgas/LNG/LPG</v>
      </c>
      <c r="C18" t="str">
        <f>IF('Tiltag 6'!G18="Vandbåren","","Naturgas/LNG/LPG")</f>
        <v>Naturgas/LNG/LPG</v>
      </c>
      <c r="D18" t="str">
        <f>IF('Tiltag 6'!K18="Vandbåren","","Naturgas/LNG/LPG")</f>
        <v>Naturgas/LNG/LPG</v>
      </c>
      <c r="Z18" s="65">
        <v>0</v>
      </c>
      <c r="AA18" s="57"/>
      <c r="AB18" s="240">
        <v>0.98</v>
      </c>
    </row>
    <row r="19" spans="2:28" x14ac:dyDescent="0.25">
      <c r="B19" t="str">
        <f>IF('Tiltag 6'!C18="Vandbåren","","Olie")</f>
        <v>Olie</v>
      </c>
      <c r="C19" t="str">
        <f>IF('Tiltag 6'!G18="Vandbåren","","Olie")</f>
        <v>Olie</v>
      </c>
      <c r="D19" t="str">
        <f>IF('Tiltag 6'!K18="Vandbåren","","Olie")</f>
        <v>Olie</v>
      </c>
      <c r="M19">
        <v>1</v>
      </c>
      <c r="N19" t="s">
        <v>381</v>
      </c>
      <c r="O19" s="241">
        <f ca="1">IF(D6&gt;60,0.77,TREND($O$11:$O$17,$N$11:$N$17,D6))</f>
        <v>0.77</v>
      </c>
      <c r="P19" s="242">
        <f ca="1">-0.0375*D6+1.02</f>
        <v>-74.842500000000001</v>
      </c>
    </row>
    <row r="20" spans="2:28" x14ac:dyDescent="0.25">
      <c r="M20">
        <v>2</v>
      </c>
      <c r="N20" t="s">
        <v>174</v>
      </c>
      <c r="O20" s="241">
        <f ca="1">IF(C8="","",IF(D8&gt;60,0.77,TREND(O11:O17,N11:N17,D8)))</f>
        <v>0.77</v>
      </c>
      <c r="Y20">
        <v>1</v>
      </c>
      <c r="Z20" t="s">
        <v>174</v>
      </c>
      <c r="AA20" s="241">
        <f ca="1">IF(D6&gt;60,0.85,TREND($AB$12:$AB$18,$Z$12:$Z$18,D6))</f>
        <v>0.85</v>
      </c>
    </row>
    <row r="21" spans="2:28" x14ac:dyDescent="0.25">
      <c r="B21" t="s">
        <v>179</v>
      </c>
      <c r="M21">
        <v>3</v>
      </c>
      <c r="N21" t="s">
        <v>174</v>
      </c>
      <c r="O21" s="241">
        <f ca="1">IF(D9&gt;60,0.77,TREND($O$11:$O$17,$N$11:$N$17,D9))</f>
        <v>0.77</v>
      </c>
      <c r="Y21">
        <v>2</v>
      </c>
      <c r="Z21" t="s">
        <v>174</v>
      </c>
      <c r="AA21" s="241">
        <f ca="1">IF(D8&gt;60,0.85,TREND($AB$12:$AB$18,$Z$12:$Z$18,D8))</f>
        <v>0.85</v>
      </c>
    </row>
    <row r="22" spans="2:28" x14ac:dyDescent="0.25">
      <c r="B22" t="s">
        <v>180</v>
      </c>
      <c r="M22">
        <v>4</v>
      </c>
      <c r="O22" s="241">
        <f ca="1">IF(D10&gt;60,0.77,TREND($O$11:$O$17,$N$11:$N$17,D10))</f>
        <v>0.77</v>
      </c>
      <c r="Y22">
        <v>3</v>
      </c>
      <c r="Z22" t="s">
        <v>174</v>
      </c>
      <c r="AA22" s="241">
        <f ca="1">IF(D9&gt;60,0.85,TREND($AB$12:$AB$18,$Z$12:$Z$18,D9))</f>
        <v>0.85</v>
      </c>
    </row>
    <row r="23" spans="2:28" x14ac:dyDescent="0.25">
      <c r="M23">
        <v>5</v>
      </c>
      <c r="N23" t="s">
        <v>380</v>
      </c>
      <c r="O23" s="241">
        <f ca="1">IF(D7&gt;60,0.77,TREND($O$11:$O$17,$N$11:$N$17,D7))</f>
        <v>0.77</v>
      </c>
    </row>
    <row r="24" spans="2:28" x14ac:dyDescent="0.25">
      <c r="M24">
        <v>6</v>
      </c>
      <c r="O24" s="241"/>
    </row>
    <row r="25" spans="2:28" x14ac:dyDescent="0.25">
      <c r="O25" s="63" t="str">
        <f>IF(C13="","",IF(D13&gt;60,0.8,TREND($O$11:$O$17,$N$11:$N$17,D13)))</f>
        <v/>
      </c>
    </row>
    <row r="26" spans="2:28" x14ac:dyDescent="0.25">
      <c r="O26" s="63" t="str">
        <f>IF(C14="","",IF(D14&gt;60,0.8,TREND($O$11:$O$17,$N$11:$N$17,D14)))</f>
        <v/>
      </c>
    </row>
    <row r="27" spans="2:28" x14ac:dyDescent="0.25">
      <c r="O27" s="63" t="str">
        <f>IF(C15="","",IF(D15&gt;60,0.8,TREND($O$11:$O$17,$N$11:$N$17,D15)))</f>
        <v/>
      </c>
    </row>
    <row r="28" spans="2:28" x14ac:dyDescent="0.25">
      <c r="B28" t="s">
        <v>181</v>
      </c>
      <c r="C28">
        <f ca="1">YEAR(TODAY())</f>
        <v>2023</v>
      </c>
      <c r="N28">
        <f>LINEST(Kalorifere!$O$11:$O$17,Kalorifere!$N$11:$N$17)</f>
        <v>-3.2112609786700114E-3</v>
      </c>
      <c r="O28" s="63" t="str">
        <f>IF(C16="","",IF(D16&gt;60,0.8,TREND($O$11:$O$17,$N$11:$N$17,D16)))</f>
        <v/>
      </c>
    </row>
    <row r="31" spans="2:28" x14ac:dyDescent="0.25">
      <c r="B31" t="s">
        <v>169</v>
      </c>
      <c r="E31" s="242">
        <f ca="1">TREND(O11:O17,N11:N17,D6)</f>
        <v>-5.5245381116687557</v>
      </c>
    </row>
    <row r="32" spans="2:28" x14ac:dyDescent="0.25">
      <c r="B32" t="s">
        <v>170</v>
      </c>
    </row>
    <row r="33" spans="1:23" x14ac:dyDescent="0.25">
      <c r="N33" s="232" t="s">
        <v>14</v>
      </c>
    </row>
    <row r="34" spans="1:23" ht="15.75" thickBot="1" x14ac:dyDescent="0.3"/>
    <row r="35" spans="1:23" ht="15.75" thickBot="1" x14ac:dyDescent="0.3">
      <c r="N35" s="330" t="s">
        <v>2</v>
      </c>
      <c r="O35" s="331" t="s">
        <v>174</v>
      </c>
      <c r="P35" s="345" t="s">
        <v>175</v>
      </c>
    </row>
    <row r="36" spans="1:23" x14ac:dyDescent="0.25">
      <c r="N36" s="333">
        <v>0</v>
      </c>
      <c r="O36" s="334">
        <v>0.95</v>
      </c>
      <c r="P36" s="346"/>
      <c r="T36">
        <v>0</v>
      </c>
      <c r="U36">
        <f>TREND(Kalorifere!$O$36:$O$42,Kalorifere!$N$36:$N$42,T36)</f>
        <v>0.94278858218318695</v>
      </c>
      <c r="V36">
        <f>$R$39*T36+$U$36</f>
        <v>0.94278858218318695</v>
      </c>
      <c r="W36">
        <f>-0.00365*T36+$U$36</f>
        <v>0.94278858218318695</v>
      </c>
    </row>
    <row r="37" spans="1:23" x14ac:dyDescent="0.25">
      <c r="B37">
        <v>3</v>
      </c>
      <c r="C37">
        <v>1</v>
      </c>
      <c r="E37" s="242">
        <f>F37*-0.00365+$V$36</f>
        <v>0.94278858218318695</v>
      </c>
      <c r="F37">
        <v>0</v>
      </c>
      <c r="G37" s="242">
        <f>TREND($O$11:$O$17,$N$11:$N$17,F37)</f>
        <v>0.97184284818067757</v>
      </c>
      <c r="H37" s="242">
        <f>F37*$N$28+0.971842848</f>
        <v>0.97184284799999998</v>
      </c>
      <c r="I37" s="241">
        <f>-0.04*F37+1.0267</f>
        <v>1.0266999999999999</v>
      </c>
      <c r="N37" s="336">
        <v>10</v>
      </c>
      <c r="O37" s="337">
        <v>0.92</v>
      </c>
      <c r="P37" s="347"/>
      <c r="T37">
        <v>1</v>
      </c>
      <c r="U37">
        <f>TREND(Kalorifere!$O$36:$O$42,Kalorifere!$N$36:$N$42,T37)</f>
        <v>0.93914209535759097</v>
      </c>
      <c r="V37">
        <f>$R$39*T37+$U$36</f>
        <v>0.93914209535759097</v>
      </c>
      <c r="W37">
        <f t="shared" ref="W37:W86" si="2">-0.00365*T37+$U$36</f>
        <v>0.93913858218318691</v>
      </c>
    </row>
    <row r="38" spans="1:23" x14ac:dyDescent="0.25">
      <c r="B38">
        <v>5</v>
      </c>
      <c r="C38">
        <v>3</v>
      </c>
      <c r="E38" s="242">
        <f t="shared" ref="E38:E87" si="3">F38*-0.00365+$V$36</f>
        <v>0.93913858218318691</v>
      </c>
      <c r="F38">
        <v>1</v>
      </c>
      <c r="G38" s="242">
        <f t="shared" ref="G38:G87" si="4">TREND($O$11:$O$17,$N$11:$N$17,F38)</f>
        <v>0.96863158720200759</v>
      </c>
      <c r="H38" s="242">
        <f t="shared" ref="H38:H86" si="5">F38*$N$28+0.971842848</f>
        <v>0.96863158702133001</v>
      </c>
      <c r="I38" s="241">
        <f t="shared" ref="I38:I86" si="6">-0.04*F38+1.0267</f>
        <v>0.98669999999999991</v>
      </c>
      <c r="N38" s="339">
        <v>20</v>
      </c>
      <c r="O38" s="340">
        <v>0.88</v>
      </c>
      <c r="P38" s="348"/>
      <c r="T38">
        <v>2</v>
      </c>
      <c r="U38">
        <f>TREND(Kalorifere!$O$36:$O$42,Kalorifere!$N$36:$N$42,T38)</f>
        <v>0.93549560853199498</v>
      </c>
      <c r="V38">
        <f t="shared" ref="V38:V85" si="7">$R$39*T38+$U$36</f>
        <v>0.93549560853199498</v>
      </c>
      <c r="W38">
        <f t="shared" si="2"/>
        <v>0.93548858218318698</v>
      </c>
    </row>
    <row r="39" spans="1:23" x14ac:dyDescent="0.25">
      <c r="B39">
        <v>4</v>
      </c>
      <c r="C39">
        <v>3</v>
      </c>
      <c r="E39" s="242">
        <f t="shared" si="3"/>
        <v>0.93548858218318698</v>
      </c>
      <c r="F39">
        <v>2</v>
      </c>
      <c r="G39" s="242">
        <f>TREND($O$11:$O$17,$N$11:$N$17,F39)</f>
        <v>0.96542032622333751</v>
      </c>
      <c r="H39" s="242">
        <f t="shared" si="5"/>
        <v>0.96542032604265993</v>
      </c>
      <c r="I39" s="241">
        <f t="shared" si="6"/>
        <v>0.94669999999999999</v>
      </c>
      <c r="N39" s="336">
        <v>30</v>
      </c>
      <c r="O39" s="337">
        <v>0.83</v>
      </c>
      <c r="P39" s="347"/>
      <c r="R39">
        <f>LINEST(Kalorifere!$O$36:$O$42,Kalorifere!$N$36:$N$42)</f>
        <v>-3.6464868255959861E-3</v>
      </c>
      <c r="T39">
        <v>3</v>
      </c>
      <c r="U39">
        <f>TREND(Kalorifere!$O$36:$O$42,Kalorifere!$N$36:$N$42,T39)</f>
        <v>0.931849121706399</v>
      </c>
      <c r="V39">
        <f t="shared" si="7"/>
        <v>0.931849121706399</v>
      </c>
      <c r="W39">
        <f t="shared" si="2"/>
        <v>0.93183858218318694</v>
      </c>
    </row>
    <row r="40" spans="1:23" x14ac:dyDescent="0.25">
      <c r="B40">
        <v>7</v>
      </c>
      <c r="C40">
        <v>4</v>
      </c>
      <c r="E40" s="242">
        <f t="shared" si="3"/>
        <v>0.93183858218318694</v>
      </c>
      <c r="F40">
        <v>3</v>
      </c>
      <c r="G40" s="242">
        <f t="shared" si="4"/>
        <v>0.96220906524466754</v>
      </c>
      <c r="H40" s="242">
        <f t="shared" si="5"/>
        <v>0.96220906506398995</v>
      </c>
      <c r="I40" s="241">
        <f t="shared" si="6"/>
        <v>0.90669999999999995</v>
      </c>
      <c r="N40" s="339">
        <v>40</v>
      </c>
      <c r="O40" s="340">
        <v>0.77</v>
      </c>
      <c r="P40" s="348"/>
      <c r="T40">
        <v>4</v>
      </c>
      <c r="U40">
        <f>TREND(Kalorifere!$O$36:$O$42,Kalorifere!$N$36:$N$42,T40)</f>
        <v>0.92820263488080301</v>
      </c>
      <c r="V40">
        <f t="shared" si="7"/>
        <v>0.92820263488080301</v>
      </c>
      <c r="W40">
        <f t="shared" si="2"/>
        <v>0.92818858218318701</v>
      </c>
    </row>
    <row r="41" spans="1:23" x14ac:dyDescent="0.25">
      <c r="B41">
        <v>7</v>
      </c>
      <c r="C41">
        <v>7</v>
      </c>
      <c r="E41" s="242">
        <f t="shared" si="3"/>
        <v>0.92818858218318701</v>
      </c>
      <c r="F41">
        <v>4</v>
      </c>
      <c r="G41" s="242">
        <f t="shared" si="4"/>
        <v>0.95899780426599757</v>
      </c>
      <c r="H41" s="242">
        <f t="shared" si="5"/>
        <v>0.95899780408531998</v>
      </c>
      <c r="I41" s="241">
        <f t="shared" si="6"/>
        <v>0.86669999999999991</v>
      </c>
      <c r="N41" s="336">
        <v>50</v>
      </c>
      <c r="O41" s="337">
        <v>0.72</v>
      </c>
      <c r="P41" s="347"/>
      <c r="T41">
        <v>5</v>
      </c>
      <c r="U41">
        <f>TREND(Kalorifere!$O$36:$O$42,Kalorifere!$N$36:$N$42,T41)</f>
        <v>0.92455614805520703</v>
      </c>
      <c r="V41">
        <f t="shared" si="7"/>
        <v>0.92455614805520703</v>
      </c>
      <c r="W41">
        <f t="shared" si="2"/>
        <v>0.92453858218318696</v>
      </c>
    </row>
    <row r="42" spans="1:23" ht="15.75" thickBot="1" x14ac:dyDescent="0.3">
      <c r="B42">
        <v>9</v>
      </c>
      <c r="C42">
        <v>8</v>
      </c>
      <c r="E42" s="242">
        <f t="shared" si="3"/>
        <v>0.92453858218318696</v>
      </c>
      <c r="F42">
        <v>5</v>
      </c>
      <c r="G42" s="242">
        <f t="shared" si="4"/>
        <v>0.95578654328732748</v>
      </c>
      <c r="H42" s="242">
        <f t="shared" si="5"/>
        <v>0.9557865431066499</v>
      </c>
      <c r="I42" s="241">
        <f t="shared" si="6"/>
        <v>0.82669999999999999</v>
      </c>
      <c r="N42" s="342">
        <v>72</v>
      </c>
      <c r="O42" s="343">
        <v>0.72</v>
      </c>
      <c r="P42" s="349"/>
      <c r="T42">
        <v>6</v>
      </c>
      <c r="U42">
        <f>TREND(Kalorifere!$O$36:$O$42,Kalorifere!$N$36:$N$42,T42)</f>
        <v>0.92090966122961104</v>
      </c>
      <c r="V42">
        <f t="shared" si="7"/>
        <v>0.92090966122961104</v>
      </c>
      <c r="W42">
        <f t="shared" si="2"/>
        <v>0.92088858218318692</v>
      </c>
    </row>
    <row r="43" spans="1:23" x14ac:dyDescent="0.25">
      <c r="B43">
        <v>6</v>
      </c>
      <c r="C43">
        <v>10</v>
      </c>
      <c r="E43" s="242">
        <f t="shared" si="3"/>
        <v>0.92088858218318692</v>
      </c>
      <c r="F43">
        <v>6</v>
      </c>
      <c r="G43" s="242">
        <f t="shared" si="4"/>
        <v>0.95257528230865751</v>
      </c>
      <c r="H43" s="242">
        <f t="shared" si="5"/>
        <v>0.95257528212797993</v>
      </c>
      <c r="I43" s="241">
        <f t="shared" si="6"/>
        <v>0.78669999999999995</v>
      </c>
      <c r="T43">
        <v>7</v>
      </c>
      <c r="U43">
        <f>TREND(Kalorifere!$O$36:$O$42,Kalorifere!$N$36:$N$42,T43)</f>
        <v>0.91726317440401506</v>
      </c>
      <c r="V43">
        <f t="shared" si="7"/>
        <v>0.91726317440401506</v>
      </c>
      <c r="W43">
        <f t="shared" si="2"/>
        <v>0.91723858218318699</v>
      </c>
    </row>
    <row r="44" spans="1:23" x14ac:dyDescent="0.25">
      <c r="B44">
        <v>5</v>
      </c>
      <c r="C44">
        <v>12</v>
      </c>
      <c r="E44" s="242">
        <f t="shared" si="3"/>
        <v>0.91723858218318699</v>
      </c>
      <c r="F44">
        <v>7</v>
      </c>
      <c r="G44" s="242">
        <f t="shared" si="4"/>
        <v>0.94936402132998743</v>
      </c>
      <c r="H44" s="242">
        <f t="shared" si="5"/>
        <v>0.94936402114930996</v>
      </c>
      <c r="I44" s="241">
        <f t="shared" si="6"/>
        <v>0.74669999999999992</v>
      </c>
      <c r="N44" t="s">
        <v>182</v>
      </c>
      <c r="O44" s="63"/>
      <c r="T44">
        <v>8</v>
      </c>
      <c r="U44">
        <f>TREND(Kalorifere!$O$36:$O$42,Kalorifere!$N$36:$N$42,T44)</f>
        <v>0.91361668757841907</v>
      </c>
      <c r="V44">
        <f t="shared" si="7"/>
        <v>0.91361668757841907</v>
      </c>
      <c r="W44">
        <f t="shared" si="2"/>
        <v>0.91358858218318695</v>
      </c>
    </row>
    <row r="45" spans="1:23" x14ac:dyDescent="0.25">
      <c r="B45">
        <v>7</v>
      </c>
      <c r="C45">
        <v>14</v>
      </c>
      <c r="E45" s="242">
        <f t="shared" si="3"/>
        <v>0.91358858218318695</v>
      </c>
      <c r="F45">
        <v>8</v>
      </c>
      <c r="G45" s="242">
        <f t="shared" si="4"/>
        <v>0.94615276035131746</v>
      </c>
      <c r="H45" s="242">
        <f t="shared" si="5"/>
        <v>0.94615276017063987</v>
      </c>
      <c r="I45" s="241">
        <f t="shared" si="6"/>
        <v>0.70669999999999988</v>
      </c>
      <c r="M45">
        <v>1</v>
      </c>
      <c r="N45" t="s">
        <v>174</v>
      </c>
      <c r="O45" s="242">
        <f ca="1">IF(D6="","",IF(D6&gt;60,0.72,TREND($O$36:$O$42,$N$36:$N$42,D6)))</f>
        <v>0.72</v>
      </c>
      <c r="T45">
        <v>9</v>
      </c>
      <c r="U45">
        <f>TREND(Kalorifere!$O$36:$O$42,Kalorifere!$N$36:$N$42,T45)</f>
        <v>0.90997020075282309</v>
      </c>
      <c r="V45">
        <f t="shared" si="7"/>
        <v>0.90997020075282309</v>
      </c>
      <c r="W45">
        <f t="shared" si="2"/>
        <v>0.90993858218318691</v>
      </c>
    </row>
    <row r="46" spans="1:23" x14ac:dyDescent="0.25">
      <c r="B46">
        <v>12</v>
      </c>
      <c r="C46">
        <v>14</v>
      </c>
      <c r="E46" s="242">
        <f t="shared" si="3"/>
        <v>0.90993858218318691</v>
      </c>
      <c r="F46">
        <v>9</v>
      </c>
      <c r="G46" s="242">
        <f t="shared" si="4"/>
        <v>0.94294149937264748</v>
      </c>
      <c r="H46" s="242">
        <f t="shared" si="5"/>
        <v>0.9429414991919699</v>
      </c>
      <c r="I46" s="241">
        <f t="shared" si="6"/>
        <v>0.66669999999999996</v>
      </c>
      <c r="M46">
        <v>2</v>
      </c>
      <c r="N46" t="s">
        <v>174</v>
      </c>
      <c r="O46" s="242">
        <f ca="1">IF(D8="","",IF(D8&gt;60,0.72,TREND($O$36:$O$42,$N$36:$N$42,D8)))</f>
        <v>0.72</v>
      </c>
      <c r="T46">
        <v>10</v>
      </c>
      <c r="U46">
        <f>TREND(Kalorifere!$O$36:$O$42,Kalorifere!$N$36:$N$42,T46)</f>
        <v>0.9063237139272271</v>
      </c>
      <c r="V46">
        <f t="shared" si="7"/>
        <v>0.9063237139272271</v>
      </c>
      <c r="W46">
        <f t="shared" si="2"/>
        <v>0.90628858218318697</v>
      </c>
    </row>
    <row r="47" spans="1:23" x14ac:dyDescent="0.25">
      <c r="B47">
        <v>14</v>
      </c>
      <c r="C47">
        <v>16</v>
      </c>
      <c r="E47" s="242">
        <f t="shared" si="3"/>
        <v>0.90628858218318697</v>
      </c>
      <c r="F47">
        <v>10</v>
      </c>
      <c r="G47" s="242">
        <f t="shared" si="4"/>
        <v>0.9397302383939774</v>
      </c>
      <c r="H47" s="242">
        <f t="shared" si="5"/>
        <v>0.93973023821329982</v>
      </c>
      <c r="I47" s="241">
        <f t="shared" si="6"/>
        <v>0.62669999999999992</v>
      </c>
      <c r="M47">
        <v>3</v>
      </c>
      <c r="N47" t="s">
        <v>174</v>
      </c>
      <c r="O47" s="242">
        <f ca="1">IF(D9="","",IF(D9&gt;60,0.72,TREND($O$36:$O$42,$N$36:$N$42,D9)))</f>
        <v>0.72</v>
      </c>
      <c r="T47" s="243">
        <v>11</v>
      </c>
      <c r="U47">
        <f>TREND(Kalorifere!$O$36:$O$42,Kalorifere!$N$36:$N$42,T47)</f>
        <v>0.90267722710163112</v>
      </c>
      <c r="V47">
        <f t="shared" si="7"/>
        <v>0.90267722710163112</v>
      </c>
      <c r="W47">
        <f t="shared" si="2"/>
        <v>0.90263858218318693</v>
      </c>
    </row>
    <row r="48" spans="1:23" x14ac:dyDescent="0.25">
      <c r="A48" s="244"/>
      <c r="B48" s="245">
        <v>9</v>
      </c>
      <c r="C48" s="243">
        <v>17</v>
      </c>
      <c r="D48" s="243"/>
      <c r="E48" s="242">
        <f t="shared" si="3"/>
        <v>0.90263858218318693</v>
      </c>
      <c r="F48" s="243">
        <v>11</v>
      </c>
      <c r="G48" s="242">
        <f t="shared" si="4"/>
        <v>0.93651897741530743</v>
      </c>
      <c r="H48" s="242">
        <f t="shared" si="5"/>
        <v>0.93651897723462985</v>
      </c>
      <c r="I48" s="241">
        <f t="shared" si="6"/>
        <v>0.5867</v>
      </c>
      <c r="J48" s="243"/>
      <c r="K48" s="243"/>
      <c r="M48">
        <v>4</v>
      </c>
      <c r="N48" t="s">
        <v>174</v>
      </c>
      <c r="O48" s="242">
        <f ca="1">IF(D10="","",IF(D10&gt;60,0.72,TREND($O$36:$O$42,$N$36:$N$42,D10)))</f>
        <v>0.72</v>
      </c>
      <c r="T48" s="243">
        <v>12</v>
      </c>
      <c r="U48">
        <f>TREND(Kalorifere!$O$36:$O$42,Kalorifere!$N$36:$N$42,T48)</f>
        <v>0.89903074027603513</v>
      </c>
      <c r="V48">
        <f t="shared" si="7"/>
        <v>0.89903074027603513</v>
      </c>
      <c r="W48">
        <f t="shared" si="2"/>
        <v>0.898988582183187</v>
      </c>
    </row>
    <row r="49" spans="1:23" x14ac:dyDescent="0.25">
      <c r="A49" s="244"/>
      <c r="B49" s="245">
        <v>12</v>
      </c>
      <c r="C49" s="243">
        <v>18</v>
      </c>
      <c r="D49" s="243"/>
      <c r="E49" s="242">
        <f t="shared" si="3"/>
        <v>0.898988582183187</v>
      </c>
      <c r="F49" s="243">
        <v>12</v>
      </c>
      <c r="G49" s="242">
        <f t="shared" si="4"/>
        <v>0.93330771643663746</v>
      </c>
      <c r="H49" s="242">
        <f t="shared" si="5"/>
        <v>0.93330771625595987</v>
      </c>
      <c r="I49" s="241">
        <f t="shared" si="6"/>
        <v>0.54669999999999996</v>
      </c>
      <c r="J49" s="243"/>
      <c r="K49" s="243"/>
      <c r="N49" t="s">
        <v>380</v>
      </c>
      <c r="O49" s="242">
        <f ca="1">IF(D7="","",IF(D7&gt;60,0.72,TREND($O$36:$O$42,$N$36:$N$42,D7)))</f>
        <v>0.72</v>
      </c>
      <c r="T49" s="246">
        <v>13</v>
      </c>
      <c r="U49">
        <f>TREND(Kalorifere!$O$36:$O$42,Kalorifere!$N$36:$N$42,T49)</f>
        <v>0.89538425345043915</v>
      </c>
      <c r="V49">
        <f t="shared" si="7"/>
        <v>0.89538425345043915</v>
      </c>
      <c r="W49">
        <f t="shared" si="2"/>
        <v>0.89533858218318696</v>
      </c>
    </row>
    <row r="50" spans="1:23" x14ac:dyDescent="0.25">
      <c r="A50" s="244"/>
      <c r="B50" s="245">
        <v>15</v>
      </c>
      <c r="C50" s="243">
        <v>22</v>
      </c>
      <c r="D50" s="243"/>
      <c r="E50" s="242">
        <f t="shared" si="3"/>
        <v>0.89533858218318696</v>
      </c>
      <c r="F50" s="246">
        <v>13</v>
      </c>
      <c r="G50" s="242">
        <f t="shared" si="4"/>
        <v>0.93009645545796737</v>
      </c>
      <c r="H50" s="242">
        <f t="shared" si="5"/>
        <v>0.93009645527728979</v>
      </c>
      <c r="I50" s="241">
        <f t="shared" si="6"/>
        <v>0.50669999999999993</v>
      </c>
      <c r="J50" s="246"/>
      <c r="K50" s="246"/>
      <c r="N50">
        <f>LINEST(O36:O42,N36:N42)</f>
        <v>-3.6464868255959861E-3</v>
      </c>
      <c r="O50" s="242"/>
      <c r="T50" s="246">
        <v>14</v>
      </c>
      <c r="U50">
        <f>TREND(Kalorifere!$O$36:$O$42,Kalorifere!$N$36:$N$42,T50)</f>
        <v>0.89173776662484316</v>
      </c>
      <c r="V50">
        <f t="shared" si="7"/>
        <v>0.89173776662484316</v>
      </c>
      <c r="W50">
        <f t="shared" si="2"/>
        <v>0.89168858218318692</v>
      </c>
    </row>
    <row r="51" spans="1:23" x14ac:dyDescent="0.25">
      <c r="A51" s="244"/>
      <c r="B51" s="245"/>
      <c r="C51" s="243"/>
      <c r="D51" s="243"/>
      <c r="E51" s="242">
        <f t="shared" si="3"/>
        <v>0.89168858218318692</v>
      </c>
      <c r="F51" s="246">
        <v>14</v>
      </c>
      <c r="G51" s="242">
        <f t="shared" si="4"/>
        <v>0.9268851944792974</v>
      </c>
      <c r="H51" s="242">
        <f t="shared" si="5"/>
        <v>0.92688519429861982</v>
      </c>
      <c r="I51" s="241">
        <f t="shared" si="6"/>
        <v>0.46669999999999989</v>
      </c>
      <c r="J51" s="246"/>
      <c r="K51" s="246"/>
      <c r="T51" s="243">
        <v>15</v>
      </c>
      <c r="U51">
        <f>TREND(Kalorifere!$O$36:$O$42,Kalorifere!$N$36:$N$42,T51)</f>
        <v>0.88809127979924718</v>
      </c>
      <c r="V51">
        <f t="shared" si="7"/>
        <v>0.88809127979924718</v>
      </c>
      <c r="W51">
        <f t="shared" si="2"/>
        <v>0.88803858218318699</v>
      </c>
    </row>
    <row r="52" spans="1:23" x14ac:dyDescent="0.25">
      <c r="A52" s="244"/>
      <c r="B52" s="245"/>
      <c r="C52" s="243"/>
      <c r="D52" s="243"/>
      <c r="E52" s="242">
        <f t="shared" si="3"/>
        <v>0.88803858218318699</v>
      </c>
      <c r="F52" s="243">
        <v>15</v>
      </c>
      <c r="G52" s="242">
        <f t="shared" si="4"/>
        <v>0.92367393350062743</v>
      </c>
      <c r="H52" s="242">
        <f t="shared" si="5"/>
        <v>0.92367393331994985</v>
      </c>
      <c r="I52" s="241">
        <f t="shared" si="6"/>
        <v>0.42669999999999997</v>
      </c>
      <c r="J52" s="243"/>
      <c r="K52" s="247"/>
      <c r="M52">
        <v>0</v>
      </c>
      <c r="N52" s="248">
        <f>F37*$N$50+0.97</f>
        <v>0.97</v>
      </c>
      <c r="T52" s="243">
        <v>16</v>
      </c>
      <c r="U52">
        <f>TREND(Kalorifere!$O$36:$O$42,Kalorifere!$N$36:$N$42,T52)</f>
        <v>0.88444479297365119</v>
      </c>
      <c r="V52">
        <f t="shared" si="7"/>
        <v>0.88444479297365119</v>
      </c>
      <c r="W52">
        <f t="shared" si="2"/>
        <v>0.88438858218318694</v>
      </c>
    </row>
    <row r="53" spans="1:23" x14ac:dyDescent="0.25">
      <c r="A53" s="244"/>
      <c r="B53" s="245">
        <f>LINEST(B37:B50)</f>
        <v>0.75824175824175832</v>
      </c>
      <c r="C53" s="243"/>
      <c r="D53" s="243"/>
      <c r="E53" s="242">
        <f t="shared" si="3"/>
        <v>0.88438858218318694</v>
      </c>
      <c r="F53" s="243">
        <v>16</v>
      </c>
      <c r="G53" s="242">
        <f t="shared" si="4"/>
        <v>0.92046267252195735</v>
      </c>
      <c r="H53" s="242">
        <f t="shared" si="5"/>
        <v>0.92046267234127976</v>
      </c>
      <c r="I53" s="241">
        <f t="shared" si="6"/>
        <v>0.38669999999999993</v>
      </c>
      <c r="J53" s="243"/>
      <c r="K53" s="243"/>
      <c r="M53">
        <v>1</v>
      </c>
      <c r="N53" s="248">
        <f t="shared" ref="N53:N61" si="8">F38*$N$50+0.97</f>
        <v>0.96635351317440399</v>
      </c>
      <c r="T53" s="243">
        <v>17</v>
      </c>
      <c r="U53">
        <f>TREND(Kalorifere!$O$36:$O$42,Kalorifere!$N$36:$N$42,T53)</f>
        <v>0.88079830614805521</v>
      </c>
      <c r="V53">
        <f t="shared" si="7"/>
        <v>0.88079830614805521</v>
      </c>
      <c r="W53">
        <f t="shared" si="2"/>
        <v>0.8807385821831869</v>
      </c>
    </row>
    <row r="54" spans="1:23" x14ac:dyDescent="0.25">
      <c r="A54" s="244"/>
      <c r="B54" s="245"/>
      <c r="C54" s="243"/>
      <c r="D54" s="243"/>
      <c r="E54" s="242">
        <f t="shared" si="3"/>
        <v>0.8807385821831869</v>
      </c>
      <c r="F54" s="243">
        <v>17</v>
      </c>
      <c r="G54" s="242">
        <f t="shared" si="4"/>
        <v>0.91725141154328738</v>
      </c>
      <c r="H54" s="242">
        <f t="shared" si="5"/>
        <v>0.91725141136260979</v>
      </c>
      <c r="I54" s="241">
        <f t="shared" si="6"/>
        <v>0.3466999999999999</v>
      </c>
      <c r="J54" s="243"/>
      <c r="K54" s="243"/>
      <c r="M54">
        <v>2</v>
      </c>
      <c r="N54" s="248">
        <f t="shared" si="8"/>
        <v>0.962707026348808</v>
      </c>
      <c r="T54" s="243">
        <v>18</v>
      </c>
      <c r="U54">
        <f>TREND(Kalorifere!$O$36:$O$42,Kalorifere!$N$36:$N$42,T54)</f>
        <v>0.87715181932245923</v>
      </c>
      <c r="V54">
        <f t="shared" si="7"/>
        <v>0.87715181932245923</v>
      </c>
      <c r="W54">
        <f t="shared" si="2"/>
        <v>0.87708858218318697</v>
      </c>
    </row>
    <row r="55" spans="1:23" x14ac:dyDescent="0.25">
      <c r="A55" s="244"/>
      <c r="B55" s="245"/>
      <c r="C55" s="243"/>
      <c r="D55" s="243"/>
      <c r="E55" s="242">
        <f t="shared" si="3"/>
        <v>0.87708858218318697</v>
      </c>
      <c r="F55" s="243">
        <v>18</v>
      </c>
      <c r="G55" s="242">
        <f t="shared" si="4"/>
        <v>0.9140401505646174</v>
      </c>
      <c r="H55" s="242">
        <f t="shared" si="5"/>
        <v>0.91404015038393982</v>
      </c>
      <c r="I55" s="241">
        <f t="shared" si="6"/>
        <v>0.30669999999999997</v>
      </c>
      <c r="J55" s="243"/>
      <c r="K55" s="243"/>
      <c r="M55">
        <v>3</v>
      </c>
      <c r="N55" s="248">
        <f t="shared" si="8"/>
        <v>0.95906053952321202</v>
      </c>
      <c r="T55" s="243">
        <v>19</v>
      </c>
      <c r="U55">
        <f>TREND(Kalorifere!$O$36:$O$42,Kalorifere!$N$36:$N$42,T55)</f>
        <v>0.87350533249686324</v>
      </c>
      <c r="V55">
        <f t="shared" si="7"/>
        <v>0.87350533249686324</v>
      </c>
      <c r="W55">
        <f t="shared" si="2"/>
        <v>0.87343858218318693</v>
      </c>
    </row>
    <row r="56" spans="1:23" x14ac:dyDescent="0.25">
      <c r="A56" s="244"/>
      <c r="B56" s="245"/>
      <c r="C56" s="243"/>
      <c r="D56" s="243"/>
      <c r="E56" s="242">
        <f t="shared" si="3"/>
        <v>0.87343858218318693</v>
      </c>
      <c r="F56" s="243">
        <v>19</v>
      </c>
      <c r="G56" s="242">
        <f t="shared" si="4"/>
        <v>0.91082888958594732</v>
      </c>
      <c r="H56" s="242">
        <f t="shared" si="5"/>
        <v>0.91082888940526974</v>
      </c>
      <c r="I56" s="241">
        <f t="shared" si="6"/>
        <v>0.26669999999999994</v>
      </c>
      <c r="J56" s="243"/>
      <c r="K56" s="243"/>
      <c r="M56">
        <v>4</v>
      </c>
      <c r="N56" s="248">
        <f t="shared" si="8"/>
        <v>0.95541405269761603</v>
      </c>
      <c r="T56" s="243">
        <v>20</v>
      </c>
      <c r="U56">
        <f>TREND(Kalorifere!$O$36:$O$42,Kalorifere!$N$36:$N$42,T56)</f>
        <v>0.86985884567126726</v>
      </c>
      <c r="V56">
        <f t="shared" si="7"/>
        <v>0.86985884567126726</v>
      </c>
      <c r="W56">
        <f t="shared" si="2"/>
        <v>0.869788582183187</v>
      </c>
    </row>
    <row r="57" spans="1:23" x14ac:dyDescent="0.25">
      <c r="A57" s="244"/>
      <c r="B57" s="245"/>
      <c r="C57" s="243"/>
      <c r="D57" s="243"/>
      <c r="E57" s="242">
        <f t="shared" si="3"/>
        <v>0.869788582183187</v>
      </c>
      <c r="F57" s="243">
        <v>20</v>
      </c>
      <c r="G57" s="242">
        <f t="shared" si="4"/>
        <v>0.90761762860727735</v>
      </c>
      <c r="H57" s="242">
        <f t="shared" si="5"/>
        <v>0.90761762842659977</v>
      </c>
      <c r="I57" s="241">
        <f t="shared" si="6"/>
        <v>0.2266999999999999</v>
      </c>
      <c r="J57" s="243"/>
      <c r="K57" s="243"/>
      <c r="M57">
        <v>5</v>
      </c>
      <c r="N57" s="248">
        <f t="shared" si="8"/>
        <v>0.95176756587202005</v>
      </c>
      <c r="T57" s="243">
        <v>21</v>
      </c>
      <c r="U57">
        <f>TREND(Kalorifere!$O$36:$O$42,Kalorifere!$N$36:$N$42,T57)</f>
        <v>0.86621235884567127</v>
      </c>
      <c r="V57">
        <f t="shared" si="7"/>
        <v>0.86621235884567127</v>
      </c>
      <c r="W57">
        <f t="shared" si="2"/>
        <v>0.86613858218318696</v>
      </c>
    </row>
    <row r="58" spans="1:23" x14ac:dyDescent="0.25">
      <c r="A58" s="244"/>
      <c r="B58" s="245"/>
      <c r="C58" s="243"/>
      <c r="D58" s="243"/>
      <c r="E58" s="242">
        <f t="shared" si="3"/>
        <v>0.86613858218318696</v>
      </c>
      <c r="F58" s="243">
        <v>21</v>
      </c>
      <c r="G58" s="242">
        <f t="shared" si="4"/>
        <v>0.90440636762860738</v>
      </c>
      <c r="H58" s="242">
        <f t="shared" si="5"/>
        <v>0.90440636744792968</v>
      </c>
      <c r="I58" s="241">
        <f t="shared" si="6"/>
        <v>0.18669999999999998</v>
      </c>
      <c r="J58" s="243"/>
      <c r="K58" s="243"/>
      <c r="M58">
        <v>6</v>
      </c>
      <c r="N58" s="248">
        <f t="shared" si="8"/>
        <v>0.94812107904642406</v>
      </c>
      <c r="T58" s="243">
        <v>22</v>
      </c>
      <c r="U58">
        <f>TREND(Kalorifere!$O$36:$O$42,Kalorifere!$N$36:$N$42,T58)</f>
        <v>0.86256587202007529</v>
      </c>
      <c r="V58">
        <f t="shared" si="7"/>
        <v>0.86256587202007529</v>
      </c>
      <c r="W58">
        <f t="shared" si="2"/>
        <v>0.86248858218318691</v>
      </c>
    </row>
    <row r="59" spans="1:23" x14ac:dyDescent="0.25">
      <c r="A59" s="244"/>
      <c r="B59" s="245"/>
      <c r="C59" s="243"/>
      <c r="D59" s="243"/>
      <c r="E59" s="242">
        <f t="shared" si="3"/>
        <v>0.86248858218318691</v>
      </c>
      <c r="F59" s="243">
        <v>22</v>
      </c>
      <c r="G59" s="242">
        <f t="shared" si="4"/>
        <v>0.90119510664993729</v>
      </c>
      <c r="H59" s="242">
        <f t="shared" si="5"/>
        <v>0.90119510646925971</v>
      </c>
      <c r="I59" s="241">
        <f t="shared" si="6"/>
        <v>0.14669999999999994</v>
      </c>
      <c r="J59" s="243"/>
      <c r="K59" s="243"/>
      <c r="M59">
        <v>7</v>
      </c>
      <c r="N59" s="248">
        <f t="shared" si="8"/>
        <v>0.94447459222082808</v>
      </c>
      <c r="T59" s="243">
        <v>23</v>
      </c>
      <c r="U59">
        <f>TREND(Kalorifere!$O$36:$O$42,Kalorifere!$N$36:$N$42,T59)</f>
        <v>0.8589193851944793</v>
      </c>
      <c r="V59">
        <f t="shared" si="7"/>
        <v>0.8589193851944793</v>
      </c>
      <c r="W59">
        <f t="shared" si="2"/>
        <v>0.85883858218318698</v>
      </c>
    </row>
    <row r="60" spans="1:23" x14ac:dyDescent="0.25">
      <c r="A60" s="244"/>
      <c r="B60" s="245"/>
      <c r="C60" s="243"/>
      <c r="D60" s="243"/>
      <c r="E60" s="242">
        <f t="shared" si="3"/>
        <v>0.85883858218318698</v>
      </c>
      <c r="F60" s="243">
        <v>23</v>
      </c>
      <c r="G60" s="242">
        <f t="shared" si="4"/>
        <v>0.89798384567126732</v>
      </c>
      <c r="H60" s="242">
        <f t="shared" si="5"/>
        <v>0.89798384549058974</v>
      </c>
      <c r="I60" s="241">
        <f t="shared" si="6"/>
        <v>0.10669999999999991</v>
      </c>
      <c r="J60" s="243"/>
      <c r="K60" s="243"/>
      <c r="M60">
        <v>8</v>
      </c>
      <c r="N60" s="248">
        <f t="shared" si="8"/>
        <v>0.94082810539523209</v>
      </c>
      <c r="T60" s="243">
        <v>24</v>
      </c>
      <c r="U60">
        <f>TREND(Kalorifere!$O$36:$O$42,Kalorifere!$N$36:$N$42,T60)</f>
        <v>0.85527289836888332</v>
      </c>
      <c r="V60">
        <f t="shared" si="7"/>
        <v>0.85527289836888332</v>
      </c>
      <c r="W60">
        <f t="shared" si="2"/>
        <v>0.85518858218318694</v>
      </c>
    </row>
    <row r="61" spans="1:23" x14ac:dyDescent="0.25">
      <c r="A61" s="244"/>
      <c r="B61" s="245"/>
      <c r="C61" s="243"/>
      <c r="D61" s="243"/>
      <c r="E61" s="242">
        <f t="shared" si="3"/>
        <v>0.85518858218318694</v>
      </c>
      <c r="F61" s="243">
        <v>24</v>
      </c>
      <c r="G61" s="242">
        <f t="shared" si="4"/>
        <v>0.89477258469259735</v>
      </c>
      <c r="H61" s="242">
        <f t="shared" si="5"/>
        <v>0.89477258451191966</v>
      </c>
      <c r="I61" s="241">
        <f t="shared" si="6"/>
        <v>6.6699999999999982E-2</v>
      </c>
      <c r="J61" s="243"/>
      <c r="K61" s="243"/>
      <c r="M61">
        <v>9</v>
      </c>
      <c r="N61" s="248">
        <f t="shared" si="8"/>
        <v>0.93718161856963611</v>
      </c>
      <c r="T61" s="243">
        <v>25</v>
      </c>
      <c r="U61">
        <f>TREND(Kalorifere!$O$36:$O$42,Kalorifere!$N$36:$N$42,T61)</f>
        <v>0.85162641154328733</v>
      </c>
      <c r="V61">
        <f t="shared" si="7"/>
        <v>0.85162641154328733</v>
      </c>
      <c r="W61">
        <f t="shared" si="2"/>
        <v>0.8515385821831869</v>
      </c>
    </row>
    <row r="62" spans="1:23" x14ac:dyDescent="0.25">
      <c r="A62" s="244"/>
      <c r="B62" s="245"/>
      <c r="C62" s="243"/>
      <c r="D62" s="243"/>
      <c r="E62" s="242">
        <f t="shared" si="3"/>
        <v>0.8515385821831869</v>
      </c>
      <c r="F62" s="243">
        <v>25</v>
      </c>
      <c r="G62" s="242">
        <f t="shared" si="4"/>
        <v>0.89156132371392727</v>
      </c>
      <c r="H62" s="242">
        <f t="shared" si="5"/>
        <v>0.89156132353324968</v>
      </c>
      <c r="I62" s="241">
        <f t="shared" si="6"/>
        <v>2.6699999999999946E-2</v>
      </c>
      <c r="J62" s="243"/>
      <c r="K62" s="243"/>
      <c r="M62">
        <v>10</v>
      </c>
      <c r="N62" s="248">
        <f>F47*$N$50+0.97</f>
        <v>0.93353513174404013</v>
      </c>
      <c r="T62" s="243">
        <v>26</v>
      </c>
      <c r="U62">
        <f>TREND(Kalorifere!$O$36:$O$42,Kalorifere!$N$36:$N$42,T62)</f>
        <v>0.84797992471769135</v>
      </c>
      <c r="V62">
        <f t="shared" si="7"/>
        <v>0.84797992471769135</v>
      </c>
      <c r="W62">
        <f t="shared" si="2"/>
        <v>0.84788858218318697</v>
      </c>
    </row>
    <row r="63" spans="1:23" x14ac:dyDescent="0.25">
      <c r="A63" s="244"/>
      <c r="B63" s="245"/>
      <c r="C63" s="243"/>
      <c r="D63" s="243"/>
      <c r="E63" s="242">
        <f t="shared" si="3"/>
        <v>0.84788858218318697</v>
      </c>
      <c r="F63" s="243">
        <v>26</v>
      </c>
      <c r="G63" s="242">
        <f t="shared" si="4"/>
        <v>0.8883500627352573</v>
      </c>
      <c r="H63" s="242">
        <f t="shared" si="5"/>
        <v>0.88835006255457971</v>
      </c>
      <c r="I63" s="241">
        <f t="shared" si="6"/>
        <v>-1.330000000000009E-2</v>
      </c>
      <c r="J63" s="243"/>
      <c r="K63" s="243"/>
      <c r="T63" s="243">
        <v>27</v>
      </c>
      <c r="U63">
        <f>TREND(Kalorifere!$O$36:$O$42,Kalorifere!$N$36:$N$42,T63)</f>
        <v>0.84433343789209536</v>
      </c>
      <c r="V63">
        <f t="shared" si="7"/>
        <v>0.84433343789209536</v>
      </c>
      <c r="W63">
        <f t="shared" si="2"/>
        <v>0.84423858218318693</v>
      </c>
    </row>
    <row r="64" spans="1:23" x14ac:dyDescent="0.25">
      <c r="A64" s="244"/>
      <c r="B64" s="245"/>
      <c r="C64" s="243"/>
      <c r="D64" s="243"/>
      <c r="E64" s="242">
        <f t="shared" si="3"/>
        <v>0.84423858218318693</v>
      </c>
      <c r="F64" s="243">
        <v>27</v>
      </c>
      <c r="G64" s="242">
        <f t="shared" si="4"/>
        <v>0.88513880175658721</v>
      </c>
      <c r="H64" s="242">
        <f t="shared" si="5"/>
        <v>0.88513880157590963</v>
      </c>
      <c r="I64" s="241">
        <f t="shared" si="6"/>
        <v>-5.3300000000000125E-2</v>
      </c>
      <c r="J64" s="243"/>
      <c r="K64" s="243"/>
      <c r="T64" s="243">
        <v>28</v>
      </c>
      <c r="U64">
        <f>TREND(Kalorifere!$O$36:$O$42,Kalorifere!$N$36:$N$42,T64)</f>
        <v>0.84068695106649938</v>
      </c>
      <c r="V64">
        <f t="shared" si="7"/>
        <v>0.84068695106649938</v>
      </c>
      <c r="W64">
        <f t="shared" si="2"/>
        <v>0.84058858218318699</v>
      </c>
    </row>
    <row r="65" spans="1:23" x14ac:dyDescent="0.25">
      <c r="A65" s="244"/>
      <c r="B65" s="245"/>
      <c r="C65" s="243"/>
      <c r="D65" s="243"/>
      <c r="E65" s="242">
        <f t="shared" si="3"/>
        <v>0.84058858218318699</v>
      </c>
      <c r="F65" s="243">
        <v>28</v>
      </c>
      <c r="G65" s="242">
        <f t="shared" si="4"/>
        <v>0.88192754077791724</v>
      </c>
      <c r="H65" s="242">
        <f t="shared" si="5"/>
        <v>0.88192754059723966</v>
      </c>
      <c r="I65" s="241">
        <f t="shared" si="6"/>
        <v>-9.3300000000000161E-2</v>
      </c>
      <c r="J65" s="243"/>
      <c r="K65" s="243"/>
      <c r="T65" s="243">
        <v>29</v>
      </c>
      <c r="U65">
        <f>TREND(Kalorifere!$O$36:$O$42,Kalorifere!$N$36:$N$42,T65)</f>
        <v>0.83704046424090339</v>
      </c>
      <c r="V65">
        <f t="shared" si="7"/>
        <v>0.83704046424090339</v>
      </c>
      <c r="W65">
        <f t="shared" si="2"/>
        <v>0.83693858218318695</v>
      </c>
    </row>
    <row r="66" spans="1:23" x14ac:dyDescent="0.25">
      <c r="A66" s="244"/>
      <c r="B66" s="245"/>
      <c r="C66" s="243"/>
      <c r="D66" s="243"/>
      <c r="E66" s="242">
        <f t="shared" si="3"/>
        <v>0.83693858218318695</v>
      </c>
      <c r="F66" s="243">
        <v>29</v>
      </c>
      <c r="G66" s="242">
        <f t="shared" si="4"/>
        <v>0.87871627979924727</v>
      </c>
      <c r="H66" s="242">
        <f t="shared" si="5"/>
        <v>0.87871627961856968</v>
      </c>
      <c r="I66" s="241">
        <f t="shared" si="6"/>
        <v>-0.13329999999999997</v>
      </c>
      <c r="J66" s="243"/>
      <c r="K66" s="243"/>
      <c r="M66">
        <f>LINEST(G37:G67,F37:F67)</f>
        <v>-3.2112609786700119E-3</v>
      </c>
      <c r="T66" s="243">
        <v>30</v>
      </c>
      <c r="U66">
        <f>TREND(Kalorifere!$O$36:$O$42,Kalorifere!$N$36:$N$42,T66)</f>
        <v>0.83339397741530741</v>
      </c>
      <c r="V66">
        <f t="shared" si="7"/>
        <v>0.83339397741530741</v>
      </c>
      <c r="W66">
        <f t="shared" si="2"/>
        <v>0.83328858218318691</v>
      </c>
    </row>
    <row r="67" spans="1:23" x14ac:dyDescent="0.25">
      <c r="A67" s="244"/>
      <c r="B67" s="245"/>
      <c r="C67" s="243"/>
      <c r="D67" s="243"/>
      <c r="E67" s="242">
        <f t="shared" si="3"/>
        <v>0.83328858218318691</v>
      </c>
      <c r="F67" s="243">
        <v>30</v>
      </c>
      <c r="G67" s="242">
        <f t="shared" si="4"/>
        <v>0.87550501882057719</v>
      </c>
      <c r="H67" s="242">
        <f t="shared" si="5"/>
        <v>0.8755050186398996</v>
      </c>
      <c r="I67" s="241">
        <f t="shared" si="6"/>
        <v>-0.17330000000000001</v>
      </c>
      <c r="J67" s="243"/>
      <c r="K67" s="243"/>
      <c r="T67" s="243">
        <v>31</v>
      </c>
      <c r="U67">
        <f>TREND(Kalorifere!$O$36:$O$42,Kalorifere!$N$36:$N$42,T67)</f>
        <v>0.82974749058971142</v>
      </c>
      <c r="V67">
        <f t="shared" si="7"/>
        <v>0.82974749058971142</v>
      </c>
      <c r="W67">
        <f t="shared" si="2"/>
        <v>0.82963858218318698</v>
      </c>
    </row>
    <row r="68" spans="1:23" x14ac:dyDescent="0.25">
      <c r="A68" s="244"/>
      <c r="B68" s="245"/>
      <c r="C68" s="243"/>
      <c r="D68" s="243"/>
      <c r="E68" s="242">
        <f t="shared" si="3"/>
        <v>0.82963858218318698</v>
      </c>
      <c r="F68" s="243">
        <v>31</v>
      </c>
      <c r="G68" s="249">
        <f t="shared" si="4"/>
        <v>0.87229375784190721</v>
      </c>
      <c r="H68" s="249">
        <f t="shared" si="5"/>
        <v>0.87229375766122963</v>
      </c>
      <c r="I68" s="243">
        <f t="shared" si="6"/>
        <v>-0.21330000000000005</v>
      </c>
      <c r="J68" s="243"/>
      <c r="K68" s="243"/>
      <c r="T68" s="243">
        <v>32</v>
      </c>
      <c r="U68">
        <f>TREND(Kalorifere!$O$36:$O$42,Kalorifere!$N$36:$N$42,T68)</f>
        <v>0.82610100376411544</v>
      </c>
      <c r="V68">
        <f t="shared" si="7"/>
        <v>0.82610100376411544</v>
      </c>
      <c r="W68">
        <f t="shared" si="2"/>
        <v>0.82598858218318694</v>
      </c>
    </row>
    <row r="69" spans="1:23" x14ac:dyDescent="0.25">
      <c r="A69" s="244"/>
      <c r="B69" s="245"/>
      <c r="C69" s="243"/>
      <c r="D69" s="243"/>
      <c r="E69" s="242">
        <f>F69*-0.00365+$V$36</f>
        <v>0.82598858218318694</v>
      </c>
      <c r="F69" s="243">
        <v>32</v>
      </c>
      <c r="G69" s="249">
        <f t="shared" si="4"/>
        <v>0.86908249686323724</v>
      </c>
      <c r="H69" s="249">
        <f t="shared" si="5"/>
        <v>0.86908249668255966</v>
      </c>
      <c r="I69" s="243">
        <f t="shared" si="6"/>
        <v>-0.25330000000000008</v>
      </c>
      <c r="J69" s="243"/>
      <c r="K69" s="243"/>
      <c r="T69" s="243">
        <v>33</v>
      </c>
      <c r="U69">
        <f>TREND(Kalorifere!$O$36:$O$42,Kalorifere!$N$36:$N$42,T69)</f>
        <v>0.82245451693851945</v>
      </c>
      <c r="V69">
        <f t="shared" si="7"/>
        <v>0.82245451693851945</v>
      </c>
      <c r="W69">
        <f t="shared" si="2"/>
        <v>0.82233858218318701</v>
      </c>
    </row>
    <row r="70" spans="1:23" x14ac:dyDescent="0.25">
      <c r="A70" s="244"/>
      <c r="B70" s="245"/>
      <c r="C70" s="243"/>
      <c r="E70" s="242">
        <f t="shared" si="3"/>
        <v>0.82233858218318701</v>
      </c>
      <c r="F70" s="243">
        <v>33</v>
      </c>
      <c r="G70" s="249">
        <f t="shared" si="4"/>
        <v>0.86587123588456716</v>
      </c>
      <c r="H70" s="249">
        <f t="shared" si="5"/>
        <v>0.86587123570388957</v>
      </c>
      <c r="I70" s="243">
        <f t="shared" si="6"/>
        <v>-0.29330000000000012</v>
      </c>
      <c r="J70" s="243"/>
      <c r="K70" s="243"/>
      <c r="T70" s="243">
        <v>34</v>
      </c>
      <c r="U70">
        <f>TREND(Kalorifere!$O$36:$O$42,Kalorifere!$N$36:$N$42,T70)</f>
        <v>0.81880803011292347</v>
      </c>
      <c r="V70">
        <f t="shared" si="7"/>
        <v>0.81880803011292347</v>
      </c>
      <c r="W70">
        <f t="shared" si="2"/>
        <v>0.81868858218318696</v>
      </c>
    </row>
    <row r="71" spans="1:23" x14ac:dyDescent="0.25">
      <c r="A71" s="244"/>
      <c r="B71" s="38"/>
      <c r="E71" s="242">
        <f t="shared" si="3"/>
        <v>0.81868858218318696</v>
      </c>
      <c r="F71" s="243">
        <v>34</v>
      </c>
      <c r="G71" s="249">
        <f t="shared" si="4"/>
        <v>0.86265997490589719</v>
      </c>
      <c r="H71" s="249">
        <f t="shared" si="5"/>
        <v>0.8626599747252196</v>
      </c>
      <c r="I71" s="243">
        <f t="shared" si="6"/>
        <v>-0.33330000000000015</v>
      </c>
      <c r="J71" s="243"/>
      <c r="K71" s="243"/>
      <c r="T71" s="243">
        <v>35</v>
      </c>
      <c r="U71">
        <f>TREND(Kalorifere!$O$36:$O$42,Kalorifere!$N$36:$N$42,T71)</f>
        <v>0.81516154328732737</v>
      </c>
      <c r="V71">
        <f t="shared" si="7"/>
        <v>0.81516154328732737</v>
      </c>
      <c r="W71">
        <f t="shared" si="2"/>
        <v>0.81503858218318692</v>
      </c>
    </row>
    <row r="72" spans="1:23" x14ac:dyDescent="0.25">
      <c r="A72" s="244"/>
      <c r="B72" s="250"/>
      <c r="C72" s="243"/>
      <c r="E72" s="242">
        <f t="shared" si="3"/>
        <v>0.81503858218318692</v>
      </c>
      <c r="F72" s="243">
        <v>35</v>
      </c>
      <c r="G72" s="249">
        <f t="shared" si="4"/>
        <v>0.8594487139272271</v>
      </c>
      <c r="H72" s="249">
        <f t="shared" si="5"/>
        <v>0.85944871374654963</v>
      </c>
      <c r="I72" s="243">
        <f t="shared" si="6"/>
        <v>-0.37330000000000019</v>
      </c>
      <c r="J72" s="243"/>
      <c r="K72" s="243"/>
      <c r="T72" s="251">
        <v>36</v>
      </c>
      <c r="U72">
        <f>TREND(Kalorifere!$O$36:$O$42,Kalorifere!$N$36:$N$42,T72)</f>
        <v>0.8115150564617315</v>
      </c>
      <c r="V72">
        <f t="shared" si="7"/>
        <v>0.8115150564617315</v>
      </c>
      <c r="W72">
        <f t="shared" si="2"/>
        <v>0.81138858218318699</v>
      </c>
    </row>
    <row r="73" spans="1:23" x14ac:dyDescent="0.25">
      <c r="A73" s="244"/>
      <c r="B73" s="38"/>
      <c r="C73" s="243"/>
      <c r="E73" s="242">
        <f t="shared" si="3"/>
        <v>0.81138858218318699</v>
      </c>
      <c r="F73" s="251">
        <v>36</v>
      </c>
      <c r="G73" s="249">
        <f t="shared" si="4"/>
        <v>0.85623745294855713</v>
      </c>
      <c r="H73" s="249">
        <f t="shared" si="5"/>
        <v>0.85623745276787955</v>
      </c>
      <c r="I73" s="243">
        <f t="shared" si="6"/>
        <v>-0.4133</v>
      </c>
      <c r="J73" s="252"/>
      <c r="K73" s="243"/>
      <c r="T73" s="251">
        <v>37</v>
      </c>
      <c r="U73">
        <f>TREND(Kalorifere!$O$36:$O$42,Kalorifere!$N$36:$N$42,T73)</f>
        <v>0.8078685696361354</v>
      </c>
      <c r="V73">
        <f t="shared" si="7"/>
        <v>0.8078685696361354</v>
      </c>
      <c r="W73">
        <f t="shared" si="2"/>
        <v>0.80773858218318695</v>
      </c>
    </row>
    <row r="74" spans="1:23" x14ac:dyDescent="0.25">
      <c r="A74" s="244"/>
      <c r="B74" s="38"/>
      <c r="E74" s="242">
        <f t="shared" si="3"/>
        <v>0.80773858218318695</v>
      </c>
      <c r="F74" s="251">
        <v>37</v>
      </c>
      <c r="G74" s="249">
        <f t="shared" si="4"/>
        <v>0.85302619196988716</v>
      </c>
      <c r="H74" s="249">
        <f t="shared" si="5"/>
        <v>0.85302619178920958</v>
      </c>
      <c r="I74" s="243">
        <f t="shared" si="6"/>
        <v>-0.45330000000000004</v>
      </c>
      <c r="J74" s="252"/>
      <c r="K74" s="243"/>
      <c r="T74" s="251">
        <v>38</v>
      </c>
      <c r="U74">
        <f>TREND(Kalorifere!$O$36:$O$42,Kalorifere!$N$36:$N$42,T74)</f>
        <v>0.80422208281053953</v>
      </c>
      <c r="V74">
        <f t="shared" si="7"/>
        <v>0.80422208281053953</v>
      </c>
      <c r="W74">
        <f t="shared" si="2"/>
        <v>0.80408858218318691</v>
      </c>
    </row>
    <row r="75" spans="1:23" x14ac:dyDescent="0.25">
      <c r="A75" s="244"/>
      <c r="B75" s="38"/>
      <c r="C75" s="243"/>
      <c r="E75" s="242">
        <f t="shared" si="3"/>
        <v>0.80408858218318691</v>
      </c>
      <c r="F75" s="251">
        <v>38</v>
      </c>
      <c r="G75" s="249">
        <f t="shared" si="4"/>
        <v>0.84981493099121708</v>
      </c>
      <c r="H75" s="249">
        <f t="shared" si="5"/>
        <v>0.8498149308105396</v>
      </c>
      <c r="I75" s="243">
        <f t="shared" si="6"/>
        <v>-0.49330000000000007</v>
      </c>
      <c r="J75" s="252"/>
      <c r="K75" s="243"/>
      <c r="T75" s="251">
        <v>39</v>
      </c>
      <c r="U75">
        <f>TREND(Kalorifere!$O$36:$O$42,Kalorifere!$N$36:$N$42,T75)</f>
        <v>0.80057559598494343</v>
      </c>
      <c r="V75">
        <f t="shared" si="7"/>
        <v>0.80057559598494343</v>
      </c>
      <c r="W75">
        <f t="shared" si="2"/>
        <v>0.80043858218318698</v>
      </c>
    </row>
    <row r="76" spans="1:23" x14ac:dyDescent="0.25">
      <c r="A76" s="244"/>
      <c r="B76" s="38"/>
      <c r="C76" s="243"/>
      <c r="E76" s="242">
        <f t="shared" si="3"/>
        <v>0.80043858218318698</v>
      </c>
      <c r="F76" s="251">
        <v>39</v>
      </c>
      <c r="G76" s="249">
        <f t="shared" si="4"/>
        <v>0.8466036700125471</v>
      </c>
      <c r="H76" s="249">
        <f t="shared" si="5"/>
        <v>0.84660366983186952</v>
      </c>
      <c r="I76" s="243">
        <f t="shared" si="6"/>
        <v>-0.53330000000000011</v>
      </c>
      <c r="J76" s="243"/>
      <c r="K76" s="243"/>
      <c r="T76" s="253">
        <v>40</v>
      </c>
      <c r="U76">
        <f>TREND(Kalorifere!$O$36:$O$42,Kalorifere!$N$36:$N$42,T76)</f>
        <v>0.79692910915934756</v>
      </c>
      <c r="V76">
        <f t="shared" si="7"/>
        <v>0.79692910915934756</v>
      </c>
      <c r="W76">
        <f t="shared" si="2"/>
        <v>0.79678858218318693</v>
      </c>
    </row>
    <row r="77" spans="1:23" x14ac:dyDescent="0.25">
      <c r="A77" s="244"/>
      <c r="B77" s="38"/>
      <c r="E77" s="242">
        <f t="shared" si="3"/>
        <v>0.79678858218318693</v>
      </c>
      <c r="F77" s="253">
        <v>40</v>
      </c>
      <c r="G77" s="254">
        <f t="shared" si="4"/>
        <v>0.84339240903387713</v>
      </c>
      <c r="H77" s="254">
        <f t="shared" si="5"/>
        <v>0.84339240885319955</v>
      </c>
      <c r="I77" s="255">
        <f t="shared" si="6"/>
        <v>-0.57330000000000014</v>
      </c>
      <c r="K77" s="243"/>
      <c r="T77" s="253">
        <v>41</v>
      </c>
      <c r="U77">
        <f>TREND(Kalorifere!$O$36:$O$42,Kalorifere!$N$36:$N$42,T77)</f>
        <v>0.79328262233375146</v>
      </c>
      <c r="V77">
        <f t="shared" si="7"/>
        <v>0.79328262233375146</v>
      </c>
      <c r="W77">
        <f t="shared" si="2"/>
        <v>0.79313858218318689</v>
      </c>
    </row>
    <row r="78" spans="1:23" x14ac:dyDescent="0.25">
      <c r="A78" s="244"/>
      <c r="B78" s="38"/>
      <c r="C78" s="243"/>
      <c r="E78" s="242">
        <f t="shared" si="3"/>
        <v>0.79313858218318689</v>
      </c>
      <c r="F78" s="253">
        <v>41</v>
      </c>
      <c r="G78" s="254">
        <f t="shared" si="4"/>
        <v>0.84018114805520705</v>
      </c>
      <c r="H78" s="254">
        <f t="shared" si="5"/>
        <v>0.84018114787452958</v>
      </c>
      <c r="I78" s="255">
        <f t="shared" si="6"/>
        <v>-0.61330000000000018</v>
      </c>
      <c r="K78" s="243"/>
      <c r="T78" s="253">
        <v>42</v>
      </c>
      <c r="U78">
        <f>TREND(Kalorifere!$O$36:$O$42,Kalorifere!$N$36:$N$42,T78)</f>
        <v>0.78963613550815559</v>
      </c>
      <c r="V78">
        <f t="shared" si="7"/>
        <v>0.78963613550815559</v>
      </c>
      <c r="W78">
        <f t="shared" si="2"/>
        <v>0.78948858218318696</v>
      </c>
    </row>
    <row r="79" spans="1:23" x14ac:dyDescent="0.25">
      <c r="A79" s="244"/>
      <c r="B79" s="38"/>
      <c r="C79" s="243"/>
      <c r="D79" s="227"/>
      <c r="E79" s="242">
        <f t="shared" si="3"/>
        <v>0.78948858218318696</v>
      </c>
      <c r="F79" s="253">
        <v>42</v>
      </c>
      <c r="G79" s="254">
        <f t="shared" si="4"/>
        <v>0.83696988707653708</v>
      </c>
      <c r="H79" s="254">
        <f t="shared" si="5"/>
        <v>0.83696988689585949</v>
      </c>
      <c r="I79" s="255">
        <f t="shared" si="6"/>
        <v>-0.65329999999999999</v>
      </c>
      <c r="K79" s="243"/>
      <c r="T79" s="253">
        <v>43</v>
      </c>
      <c r="U79">
        <f>TREND(Kalorifere!$O$36:$O$42,Kalorifere!$N$36:$N$42,T79)</f>
        <v>0.78598964868255949</v>
      </c>
      <c r="V79">
        <f t="shared" si="7"/>
        <v>0.78598964868255949</v>
      </c>
      <c r="W79">
        <f t="shared" si="2"/>
        <v>0.78583858218318692</v>
      </c>
    </row>
    <row r="80" spans="1:23" x14ac:dyDescent="0.25">
      <c r="A80" s="244"/>
      <c r="B80" s="245"/>
      <c r="C80" s="243"/>
      <c r="D80" s="256"/>
      <c r="E80" s="242">
        <f t="shared" si="3"/>
        <v>0.78583858218318692</v>
      </c>
      <c r="F80" s="253">
        <v>43</v>
      </c>
      <c r="G80" s="254">
        <f t="shared" si="4"/>
        <v>0.83375862609786711</v>
      </c>
      <c r="H80" s="254">
        <f t="shared" si="5"/>
        <v>0.83375862591718952</v>
      </c>
      <c r="I80" s="255">
        <f t="shared" si="6"/>
        <v>-0.69330000000000003</v>
      </c>
      <c r="K80" s="243"/>
      <c r="T80" s="253">
        <v>44</v>
      </c>
      <c r="U80">
        <f>TREND(Kalorifere!$O$36:$O$42,Kalorifere!$N$36:$N$42,T80)</f>
        <v>0.78234316185696362</v>
      </c>
      <c r="V80">
        <f t="shared" si="7"/>
        <v>0.78234316185696362</v>
      </c>
      <c r="W80">
        <f t="shared" si="2"/>
        <v>0.78218858218318699</v>
      </c>
    </row>
    <row r="81" spans="1:23" x14ac:dyDescent="0.25">
      <c r="A81" s="244"/>
      <c r="B81" s="245"/>
      <c r="C81" s="243"/>
      <c r="D81" s="256"/>
      <c r="E81" s="242">
        <f t="shared" si="3"/>
        <v>0.78218858218318699</v>
      </c>
      <c r="F81" s="253">
        <v>44</v>
      </c>
      <c r="G81" s="254">
        <f t="shared" si="4"/>
        <v>0.83054736511919702</v>
      </c>
      <c r="H81" s="254">
        <f t="shared" si="5"/>
        <v>0.83054736493851944</v>
      </c>
      <c r="I81" s="255">
        <f t="shared" si="6"/>
        <v>-0.73330000000000006</v>
      </c>
      <c r="K81" s="243"/>
      <c r="T81" s="253">
        <v>45</v>
      </c>
      <c r="U81">
        <f>TREND(Kalorifere!$O$36:$O$42,Kalorifere!$N$36:$N$42,T81)</f>
        <v>0.77869667503136752</v>
      </c>
      <c r="V81">
        <f t="shared" si="7"/>
        <v>0.77869667503136752</v>
      </c>
      <c r="W81">
        <f t="shared" si="2"/>
        <v>0.77853858218318694</v>
      </c>
    </row>
    <row r="82" spans="1:23" x14ac:dyDescent="0.25">
      <c r="A82" s="244"/>
      <c r="B82" s="245"/>
      <c r="C82" s="243"/>
      <c r="D82" s="256"/>
      <c r="E82" s="242">
        <f t="shared" si="3"/>
        <v>0.77853858218318694</v>
      </c>
      <c r="F82" s="253">
        <v>45</v>
      </c>
      <c r="G82" s="254">
        <f t="shared" si="4"/>
        <v>0.82733610414052705</v>
      </c>
      <c r="H82" s="254">
        <f t="shared" si="5"/>
        <v>0.82733610395984947</v>
      </c>
      <c r="I82" s="255">
        <f t="shared" si="6"/>
        <v>-0.7733000000000001</v>
      </c>
      <c r="K82" s="243"/>
      <c r="T82" s="253">
        <v>46</v>
      </c>
      <c r="U82">
        <f>TREND(Kalorifere!$O$36:$O$42,Kalorifere!$N$36:$N$42,T82)</f>
        <v>0.77505018820577165</v>
      </c>
      <c r="V82">
        <f t="shared" si="7"/>
        <v>0.77505018820577165</v>
      </c>
      <c r="W82">
        <f t="shared" si="2"/>
        <v>0.77488858218318701</v>
      </c>
    </row>
    <row r="83" spans="1:23" x14ac:dyDescent="0.25">
      <c r="A83" s="244"/>
      <c r="B83" s="245"/>
      <c r="C83" s="243"/>
      <c r="D83" s="256"/>
      <c r="E83" s="242">
        <f t="shared" si="3"/>
        <v>0.77488858218318701</v>
      </c>
      <c r="F83" s="253">
        <v>46</v>
      </c>
      <c r="G83" s="254">
        <f t="shared" si="4"/>
        <v>0.82412484316185708</v>
      </c>
      <c r="H83" s="254">
        <f t="shared" si="5"/>
        <v>0.8241248429811795</v>
      </c>
      <c r="I83" s="255">
        <f t="shared" si="6"/>
        <v>-0.81330000000000013</v>
      </c>
      <c r="K83" s="243"/>
      <c r="T83" s="253">
        <v>47</v>
      </c>
      <c r="U83">
        <f>TREND(Kalorifere!$O$36:$O$42,Kalorifere!$N$36:$N$42,T83)</f>
        <v>0.77140370138017555</v>
      </c>
      <c r="V83">
        <f t="shared" si="7"/>
        <v>0.77140370138017555</v>
      </c>
      <c r="W83">
        <f t="shared" si="2"/>
        <v>0.77123858218318697</v>
      </c>
    </row>
    <row r="84" spans="1:23" x14ac:dyDescent="0.25">
      <c r="A84" s="257"/>
      <c r="B84" s="245"/>
      <c r="C84" s="243"/>
      <c r="D84" s="258"/>
      <c r="E84" s="242">
        <f t="shared" si="3"/>
        <v>0.77123858218318697</v>
      </c>
      <c r="F84" s="253">
        <v>47</v>
      </c>
      <c r="G84" s="254">
        <f t="shared" si="4"/>
        <v>0.820913582183187</v>
      </c>
      <c r="H84" s="254">
        <f t="shared" si="5"/>
        <v>0.82091358200250941</v>
      </c>
      <c r="I84" s="255">
        <f t="shared" si="6"/>
        <v>-0.85330000000000017</v>
      </c>
      <c r="K84" s="243"/>
      <c r="T84" s="243">
        <v>48</v>
      </c>
      <c r="U84">
        <f>TREND(Kalorifere!$O$36:$O$42,Kalorifere!$N$36:$N$42,T84)</f>
        <v>0.76775721455457968</v>
      </c>
      <c r="V84">
        <f t="shared" si="7"/>
        <v>0.76775721455457968</v>
      </c>
      <c r="W84">
        <f t="shared" si="2"/>
        <v>0.76758858218318693</v>
      </c>
    </row>
    <row r="85" spans="1:23" x14ac:dyDescent="0.25">
      <c r="A85" s="38"/>
      <c r="B85" s="245"/>
      <c r="C85" s="243"/>
      <c r="D85" s="243"/>
      <c r="E85" s="242">
        <f t="shared" si="3"/>
        <v>0.76758858218318693</v>
      </c>
      <c r="F85" s="243">
        <v>48</v>
      </c>
      <c r="G85" s="249">
        <f t="shared" si="4"/>
        <v>0.81770232120451702</v>
      </c>
      <c r="H85" s="249">
        <f t="shared" si="5"/>
        <v>0.81770232102383944</v>
      </c>
      <c r="I85" s="255">
        <f t="shared" si="6"/>
        <v>-0.89329999999999998</v>
      </c>
      <c r="J85" t="s">
        <v>183</v>
      </c>
      <c r="K85" t="s">
        <v>184</v>
      </c>
      <c r="L85" t="s">
        <v>185</v>
      </c>
      <c r="M85" t="s">
        <v>186</v>
      </c>
      <c r="N85" t="s">
        <v>187</v>
      </c>
      <c r="O85" t="s">
        <v>188</v>
      </c>
      <c r="P85" t="s">
        <v>189</v>
      </c>
      <c r="T85" s="243">
        <v>49</v>
      </c>
      <c r="U85">
        <f>TREND(Kalorifere!$O$36:$O$42,Kalorifere!$N$36:$N$42,T85)</f>
        <v>0.76411072772898359</v>
      </c>
      <c r="V85">
        <f t="shared" si="7"/>
        <v>0.76411072772898359</v>
      </c>
      <c r="W85">
        <f t="shared" si="2"/>
        <v>0.763938582183187</v>
      </c>
    </row>
    <row r="86" spans="1:23" x14ac:dyDescent="0.25">
      <c r="A86" s="38"/>
      <c r="B86" s="245"/>
      <c r="C86" s="243"/>
      <c r="D86" s="243"/>
      <c r="E86" s="242">
        <f t="shared" si="3"/>
        <v>0.763938582183187</v>
      </c>
      <c r="F86" s="243">
        <v>49</v>
      </c>
      <c r="G86" s="249">
        <f t="shared" si="4"/>
        <v>0.81449106022584705</v>
      </c>
      <c r="H86" s="249">
        <f t="shared" si="5"/>
        <v>0.81449106004516936</v>
      </c>
      <c r="I86" s="255">
        <f t="shared" si="6"/>
        <v>-0.93330000000000002</v>
      </c>
      <c r="T86" s="259">
        <v>50</v>
      </c>
      <c r="U86">
        <f>TREND(Kalorifere!$O$36:$O$42,Kalorifere!$N$36:$N$42,T86)</f>
        <v>0.76046424090338771</v>
      </c>
      <c r="V86">
        <f>$R$39*T86+$U$36</f>
        <v>0.76046424090338771</v>
      </c>
      <c r="W86">
        <f t="shared" si="2"/>
        <v>0.76028858218318696</v>
      </c>
    </row>
    <row r="87" spans="1:23" x14ac:dyDescent="0.25">
      <c r="A87" s="38"/>
      <c r="B87" s="245"/>
      <c r="C87" s="243"/>
      <c r="D87" s="243"/>
      <c r="E87" s="242">
        <f t="shared" si="3"/>
        <v>0.76028858218318696</v>
      </c>
      <c r="F87" s="259">
        <v>50</v>
      </c>
      <c r="G87" s="260">
        <f t="shared" si="4"/>
        <v>0.81127979924717697</v>
      </c>
      <c r="H87" s="260">
        <f>F87*$N$28+0.971842848</f>
        <v>0.81127979906649939</v>
      </c>
      <c r="I87" t="s">
        <v>190</v>
      </c>
      <c r="J87">
        <v>120</v>
      </c>
      <c r="K87">
        <v>120</v>
      </c>
      <c r="L87">
        <v>120</v>
      </c>
      <c r="M87">
        <v>97</v>
      </c>
      <c r="N87">
        <v>97</v>
      </c>
      <c r="O87">
        <v>66</v>
      </c>
      <c r="P87">
        <v>66</v>
      </c>
    </row>
    <row r="88" spans="1:23" x14ac:dyDescent="0.25">
      <c r="A88" s="38"/>
      <c r="B88" s="245"/>
      <c r="C88" s="243"/>
      <c r="D88" s="243"/>
      <c r="E88" s="243"/>
      <c r="F88" s="259"/>
      <c r="G88" s="259"/>
      <c r="H88" s="259"/>
      <c r="I88" t="s">
        <v>191</v>
      </c>
      <c r="J88">
        <v>120</v>
      </c>
      <c r="K88">
        <v>120</v>
      </c>
      <c r="L88">
        <v>120</v>
      </c>
      <c r="M88">
        <v>97</v>
      </c>
      <c r="N88">
        <v>97</v>
      </c>
      <c r="O88">
        <v>66</v>
      </c>
      <c r="P88">
        <v>66</v>
      </c>
    </row>
    <row r="89" spans="1:23" x14ac:dyDescent="0.25">
      <c r="A89" s="38"/>
      <c r="B89" s="245"/>
      <c r="C89" s="243"/>
      <c r="D89" s="243"/>
      <c r="E89" s="243"/>
      <c r="F89" s="259"/>
      <c r="G89" s="259"/>
      <c r="H89" s="259"/>
      <c r="I89" t="s">
        <v>192</v>
      </c>
      <c r="J89">
        <v>124</v>
      </c>
      <c r="K89">
        <v>124</v>
      </c>
      <c r="L89">
        <v>214</v>
      </c>
      <c r="M89">
        <v>100</v>
      </c>
      <c r="N89">
        <v>100</v>
      </c>
      <c r="O89">
        <v>68</v>
      </c>
      <c r="P89">
        <v>68</v>
      </c>
    </row>
    <row r="90" spans="1:23" x14ac:dyDescent="0.25">
      <c r="A90" s="38"/>
      <c r="B90" s="38"/>
      <c r="I90" t="s">
        <v>193</v>
      </c>
      <c r="J90">
        <v>126</v>
      </c>
      <c r="K90">
        <v>126</v>
      </c>
      <c r="L90">
        <v>126</v>
      </c>
      <c r="M90">
        <v>105</v>
      </c>
      <c r="N90">
        <v>105</v>
      </c>
      <c r="O90">
        <v>77</v>
      </c>
      <c r="P90">
        <v>77</v>
      </c>
    </row>
    <row r="91" spans="1:23" x14ac:dyDescent="0.25">
      <c r="A91" s="38"/>
      <c r="B91" s="38"/>
    </row>
    <row r="92" spans="1:23" x14ac:dyDescent="0.25">
      <c r="A92" s="38"/>
      <c r="B92" s="38"/>
    </row>
    <row r="93" spans="1:23" x14ac:dyDescent="0.25">
      <c r="A93" s="38"/>
      <c r="B93" s="38"/>
    </row>
    <row r="94" spans="1:23" x14ac:dyDescent="0.25">
      <c r="A94" s="38"/>
      <c r="B94" s="38"/>
    </row>
    <row r="95" spans="1:23" x14ac:dyDescent="0.25">
      <c r="A95" s="38"/>
      <c r="B95" s="38"/>
    </row>
    <row r="96" spans="1:23" x14ac:dyDescent="0.25">
      <c r="A96" s="38"/>
      <c r="B96" s="38"/>
    </row>
    <row r="97" spans="1:2" x14ac:dyDescent="0.25">
      <c r="A97" s="38"/>
      <c r="B97" s="38"/>
    </row>
    <row r="98" spans="1:2" x14ac:dyDescent="0.25">
      <c r="A98" s="38"/>
      <c r="B98" s="38"/>
    </row>
    <row r="99" spans="1:2" x14ac:dyDescent="0.25">
      <c r="A99" s="38"/>
      <c r="B99" s="38"/>
    </row>
    <row r="100" spans="1:2" x14ac:dyDescent="0.25">
      <c r="A100" s="38"/>
      <c r="B100" s="38"/>
    </row>
    <row r="101" spans="1:2" x14ac:dyDescent="0.25">
      <c r="A101" s="38"/>
      <c r="B101" s="38"/>
    </row>
    <row r="102" spans="1:2" x14ac:dyDescent="0.25">
      <c r="A102" s="38"/>
      <c r="B102" s="38"/>
    </row>
    <row r="103" spans="1:2" x14ac:dyDescent="0.25">
      <c r="A103" s="38"/>
      <c r="B103" s="38"/>
    </row>
    <row r="104" spans="1:2" x14ac:dyDescent="0.25">
      <c r="A104" s="38"/>
      <c r="B104" s="38"/>
    </row>
    <row r="105" spans="1:2" x14ac:dyDescent="0.25">
      <c r="A105" s="38"/>
      <c r="B105" s="38"/>
    </row>
    <row r="106" spans="1:2" x14ac:dyDescent="0.25">
      <c r="A106" s="38"/>
      <c r="B106" s="38"/>
    </row>
    <row r="107" spans="1:2" x14ac:dyDescent="0.25">
      <c r="A107" s="38"/>
      <c r="B107" s="38"/>
    </row>
    <row r="108" spans="1:2" x14ac:dyDescent="0.25">
      <c r="A108" s="38"/>
      <c r="B108" s="38"/>
    </row>
    <row r="109" spans="1:2" x14ac:dyDescent="0.25">
      <c r="A109" s="38"/>
      <c r="B109" s="38"/>
    </row>
    <row r="110" spans="1:2" x14ac:dyDescent="0.25">
      <c r="A110" s="38"/>
      <c r="B110" s="38"/>
    </row>
    <row r="111" spans="1:2" x14ac:dyDescent="0.25">
      <c r="A111" s="38"/>
      <c r="B111" s="38"/>
    </row>
    <row r="112" spans="1:2" x14ac:dyDescent="0.25">
      <c r="A112" s="38"/>
      <c r="B112" s="38"/>
    </row>
    <row r="113" spans="1:2" x14ac:dyDescent="0.25">
      <c r="A113" s="38"/>
      <c r="B113" s="38"/>
    </row>
    <row r="114" spans="1:2" x14ac:dyDescent="0.25">
      <c r="A114" s="38"/>
      <c r="B114" s="38"/>
    </row>
    <row r="115" spans="1:2" x14ac:dyDescent="0.25">
      <c r="A115" s="38"/>
      <c r="B115" s="38"/>
    </row>
    <row r="116" spans="1:2" x14ac:dyDescent="0.25">
      <c r="A116" s="38"/>
      <c r="B116" s="38"/>
    </row>
    <row r="117" spans="1:2" x14ac:dyDescent="0.25">
      <c r="A117" s="38"/>
      <c r="B117" s="38"/>
    </row>
    <row r="118" spans="1:2" x14ac:dyDescent="0.25">
      <c r="A118" s="38"/>
      <c r="B118" s="38"/>
    </row>
    <row r="119" spans="1:2" x14ac:dyDescent="0.25">
      <c r="A119" s="38"/>
      <c r="B119" s="38"/>
    </row>
    <row r="120" spans="1:2" x14ac:dyDescent="0.25">
      <c r="A120" s="38"/>
      <c r="B120" s="38"/>
    </row>
    <row r="121" spans="1:2" x14ac:dyDescent="0.25">
      <c r="A121" s="38"/>
      <c r="B121" s="38"/>
    </row>
    <row r="122" spans="1:2" x14ac:dyDescent="0.25">
      <c r="A122" s="38"/>
      <c r="B122" s="38"/>
    </row>
    <row r="123" spans="1:2" x14ac:dyDescent="0.25">
      <c r="A123" s="38"/>
      <c r="B123" s="38"/>
    </row>
    <row r="124" spans="1:2" x14ac:dyDescent="0.25">
      <c r="A124" s="38"/>
      <c r="B124" s="38"/>
    </row>
    <row r="125" spans="1:2" x14ac:dyDescent="0.25">
      <c r="A125" s="38"/>
      <c r="B125" s="38"/>
    </row>
    <row r="126" spans="1:2" x14ac:dyDescent="0.25">
      <c r="A126" s="38"/>
      <c r="B126" s="38"/>
    </row>
    <row r="127" spans="1:2" x14ac:dyDescent="0.25">
      <c r="A127" s="38"/>
      <c r="B127" s="38"/>
    </row>
    <row r="128" spans="1:2" x14ac:dyDescent="0.25">
      <c r="A128" s="38"/>
      <c r="B128" s="38"/>
    </row>
    <row r="129" spans="1:2" x14ac:dyDescent="0.25">
      <c r="A129" s="38"/>
      <c r="B129" s="38"/>
    </row>
    <row r="130" spans="1:2" x14ac:dyDescent="0.25">
      <c r="A130" s="38"/>
      <c r="B130" s="38"/>
    </row>
    <row r="131" spans="1:2" x14ac:dyDescent="0.25">
      <c r="A131" s="38"/>
      <c r="B131" s="38"/>
    </row>
    <row r="132" spans="1:2" x14ac:dyDescent="0.25">
      <c r="A132" s="38"/>
      <c r="B132" s="38"/>
    </row>
    <row r="133" spans="1:2" x14ac:dyDescent="0.25">
      <c r="A133" s="38"/>
      <c r="B133" s="38"/>
    </row>
    <row r="134" spans="1:2" x14ac:dyDescent="0.25">
      <c r="A134" s="38"/>
      <c r="B134" s="38"/>
    </row>
    <row r="135" spans="1:2" x14ac:dyDescent="0.25">
      <c r="A135" s="38"/>
      <c r="B135" s="38"/>
    </row>
    <row r="136" spans="1:2" x14ac:dyDescent="0.25">
      <c r="A136" s="38"/>
      <c r="B136" s="38"/>
    </row>
    <row r="137" spans="1:2" x14ac:dyDescent="0.25">
      <c r="A137" s="38"/>
      <c r="B137" s="38"/>
    </row>
    <row r="138" spans="1:2" x14ac:dyDescent="0.25">
      <c r="A138" s="38"/>
      <c r="B138" s="38"/>
    </row>
    <row r="139" spans="1:2" x14ac:dyDescent="0.25">
      <c r="A139" s="38"/>
      <c r="B139" s="38"/>
    </row>
    <row r="140" spans="1:2" x14ac:dyDescent="0.25">
      <c r="A140" s="38"/>
      <c r="B140" s="38"/>
    </row>
    <row r="141" spans="1:2" x14ac:dyDescent="0.25">
      <c r="A141" s="38"/>
      <c r="B141" s="38"/>
    </row>
    <row r="142" spans="1:2" x14ac:dyDescent="0.25">
      <c r="A142" s="38"/>
      <c r="B142" s="38"/>
    </row>
    <row r="143" spans="1:2" x14ac:dyDescent="0.25">
      <c r="A143" s="38"/>
      <c r="B143" s="38"/>
    </row>
    <row r="144" spans="1:2" x14ac:dyDescent="0.25">
      <c r="A144" s="38"/>
      <c r="B144" s="38"/>
    </row>
    <row r="145" spans="1:2" x14ac:dyDescent="0.25">
      <c r="A145" s="38"/>
      <c r="B145" s="38"/>
    </row>
    <row r="146" spans="1:2" x14ac:dyDescent="0.25">
      <c r="A146" s="38"/>
      <c r="B146" s="38"/>
    </row>
    <row r="147" spans="1:2" x14ac:dyDescent="0.25">
      <c r="A147" s="38"/>
      <c r="B147" s="38"/>
    </row>
    <row r="148" spans="1:2" x14ac:dyDescent="0.25">
      <c r="A148" s="38"/>
      <c r="B148" s="38"/>
    </row>
    <row r="149" spans="1:2" x14ac:dyDescent="0.25">
      <c r="A149" s="38"/>
      <c r="B149" s="38"/>
    </row>
    <row r="150" spans="1:2" x14ac:dyDescent="0.25">
      <c r="A150" s="38"/>
      <c r="B150" s="38"/>
    </row>
    <row r="151" spans="1:2" x14ac:dyDescent="0.25">
      <c r="A151" s="38"/>
      <c r="B151" s="38"/>
    </row>
    <row r="152" spans="1:2" x14ac:dyDescent="0.25">
      <c r="A152" s="38"/>
      <c r="B152" s="38"/>
    </row>
    <row r="153" spans="1:2" x14ac:dyDescent="0.25">
      <c r="A153" s="38"/>
      <c r="B153" s="38"/>
    </row>
    <row r="154" spans="1:2" x14ac:dyDescent="0.25">
      <c r="A154" s="38"/>
      <c r="B154" s="38"/>
    </row>
    <row r="155" spans="1:2" x14ac:dyDescent="0.25">
      <c r="A155" s="38"/>
      <c r="B155" s="38"/>
    </row>
    <row r="156" spans="1:2" x14ac:dyDescent="0.25">
      <c r="A156" s="38"/>
      <c r="B156" s="38"/>
    </row>
    <row r="157" spans="1:2" x14ac:dyDescent="0.25">
      <c r="A157" s="38"/>
      <c r="B157" s="38"/>
    </row>
    <row r="158" spans="1:2" x14ac:dyDescent="0.25">
      <c r="A158" s="38"/>
      <c r="B158" s="38"/>
    </row>
    <row r="159" spans="1:2" x14ac:dyDescent="0.25">
      <c r="A159" s="38"/>
      <c r="B159" s="38"/>
    </row>
    <row r="160" spans="1:2" x14ac:dyDescent="0.25">
      <c r="A160" s="38"/>
      <c r="B160" s="38"/>
    </row>
    <row r="161" spans="1:2" x14ac:dyDescent="0.25">
      <c r="A161" s="38"/>
      <c r="B161" s="38"/>
    </row>
    <row r="162" spans="1:2" x14ac:dyDescent="0.25">
      <c r="A162" s="38"/>
      <c r="B162" s="38"/>
    </row>
  </sheetData>
  <mergeCells count="2">
    <mergeCell ref="I2:K2"/>
    <mergeCell ref="N2:R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34"/>
  <sheetViews>
    <sheetView workbookViewId="0">
      <selection activeCell="O4" sqref="O4"/>
    </sheetView>
  </sheetViews>
  <sheetFormatPr defaultColWidth="10.42578125" defaultRowHeight="12.75" customHeight="1" x14ac:dyDescent="0.15"/>
  <cols>
    <col min="1" max="1" width="7.42578125" style="67" customWidth="1"/>
    <col min="2" max="2" width="3.42578125" style="67" customWidth="1"/>
    <col min="3" max="3" width="8.42578125" style="67" customWidth="1"/>
    <col min="4" max="4" width="10.42578125" style="67" customWidth="1"/>
    <col min="5" max="5" width="7.5703125" style="67" customWidth="1"/>
    <col min="6" max="6" width="12.5703125" style="67" customWidth="1"/>
    <col min="7" max="7" width="14" style="67" customWidth="1"/>
    <col min="8" max="8" width="6" style="67" customWidth="1"/>
    <col min="9" max="9" width="6.7109375" style="67" customWidth="1"/>
    <col min="10" max="10" width="12.28515625" style="67" customWidth="1"/>
    <col min="11" max="11" width="10.42578125" style="67"/>
    <col min="12" max="12" width="12.7109375" style="67" customWidth="1"/>
    <col min="13" max="13" width="11.28515625" style="67" customWidth="1"/>
    <col min="14" max="14" width="12.5703125" style="67" customWidth="1"/>
    <col min="15" max="16384" width="10.42578125" style="67"/>
  </cols>
  <sheetData>
    <row r="1" spans="1:15" ht="12" customHeight="1" x14ac:dyDescent="0.2">
      <c r="A1" s="97"/>
      <c r="B1" s="68"/>
      <c r="C1" s="68"/>
      <c r="D1" s="68"/>
      <c r="E1" s="68"/>
      <c r="F1" s="68"/>
      <c r="G1" s="68"/>
      <c r="H1" s="98"/>
      <c r="I1" s="98"/>
      <c r="J1" s="69"/>
      <c r="K1" s="69"/>
      <c r="L1" s="69"/>
      <c r="M1" s="70"/>
      <c r="N1" s="99"/>
      <c r="O1" s="69"/>
    </row>
    <row r="2" spans="1:15" ht="12" customHeight="1" x14ac:dyDescent="0.15">
      <c r="A2" s="70"/>
      <c r="B2" s="545" t="str">
        <f>Forside!B2</f>
        <v xml:space="preserve">Standardløsningskatalog for udskiftning af varmeforsyning </v>
      </c>
      <c r="C2" s="545"/>
      <c r="D2" s="545"/>
      <c r="E2" s="545"/>
      <c r="F2" s="545"/>
      <c r="G2" s="545"/>
      <c r="H2" s="545"/>
      <c r="I2" s="545"/>
      <c r="J2" s="545"/>
      <c r="K2" s="545"/>
      <c r="L2" s="545"/>
      <c r="M2" s="545"/>
      <c r="N2" s="100"/>
      <c r="O2" s="71"/>
    </row>
    <row r="3" spans="1:15" ht="33.75" customHeight="1" x14ac:dyDescent="0.25">
      <c r="A3" s="101"/>
      <c r="B3" s="545"/>
      <c r="C3" s="545"/>
      <c r="D3" s="545"/>
      <c r="E3" s="545"/>
      <c r="F3" s="545"/>
      <c r="G3" s="545"/>
      <c r="H3" s="545"/>
      <c r="I3" s="545"/>
      <c r="J3" s="545"/>
      <c r="K3" s="545"/>
      <c r="L3" s="545"/>
      <c r="M3" s="545"/>
      <c r="N3" s="71"/>
      <c r="O3" s="71"/>
    </row>
    <row r="4" spans="1:15" ht="10.35" customHeight="1" x14ac:dyDescent="0.25">
      <c r="A4" s="101"/>
      <c r="B4" s="102"/>
      <c r="C4" s="102"/>
      <c r="D4" s="102"/>
      <c r="E4" s="102"/>
      <c r="F4" s="102"/>
      <c r="G4" s="102"/>
      <c r="H4" s="70"/>
      <c r="I4" s="103"/>
      <c r="J4" s="103"/>
      <c r="K4" s="103"/>
      <c r="L4" s="103"/>
      <c r="M4" s="103"/>
      <c r="N4" s="71"/>
      <c r="O4" s="75" t="str">
        <f>Forside!P4</f>
        <v>Vers. 5  23.01.2023</v>
      </c>
    </row>
    <row r="5" spans="1:15" ht="11.25" x14ac:dyDescent="0.15">
      <c r="A5" s="104"/>
      <c r="B5" s="104"/>
      <c r="C5" s="104"/>
      <c r="D5" s="104"/>
      <c r="E5" s="104"/>
      <c r="F5" s="104"/>
      <c r="G5" s="104"/>
      <c r="H5" s="104"/>
      <c r="I5" s="104"/>
      <c r="J5" s="104"/>
      <c r="K5" s="104"/>
      <c r="L5" s="104"/>
      <c r="M5" s="104"/>
      <c r="N5" s="104"/>
      <c r="O5" s="104"/>
    </row>
    <row r="6" spans="1:15" ht="11.25" x14ac:dyDescent="0.15">
      <c r="A6" s="70"/>
      <c r="B6" s="70"/>
      <c r="C6" s="70"/>
      <c r="D6" s="70"/>
      <c r="E6" s="70"/>
      <c r="F6" s="70"/>
      <c r="G6" s="70"/>
      <c r="H6" s="70"/>
      <c r="I6" s="70"/>
      <c r="J6" s="70"/>
      <c r="K6" s="70"/>
      <c r="L6" s="70"/>
      <c r="M6" s="70"/>
      <c r="N6" s="70"/>
      <c r="O6" s="70"/>
    </row>
    <row r="7" spans="1:15" s="109" customFormat="1" ht="6" customHeight="1" x14ac:dyDescent="0.2">
      <c r="A7" s="105"/>
      <c r="B7" s="105"/>
      <c r="C7" s="106"/>
      <c r="D7" s="107"/>
      <c r="E7" s="107"/>
      <c r="F7" s="107"/>
      <c r="G7" s="107"/>
      <c r="H7" s="107"/>
      <c r="I7" s="107"/>
      <c r="J7" s="108"/>
      <c r="K7" s="107"/>
      <c r="L7" s="107"/>
      <c r="M7" s="107"/>
      <c r="N7" s="107"/>
      <c r="O7" s="107"/>
    </row>
    <row r="8" spans="1:15" s="109" customFormat="1" ht="60.75" customHeight="1" x14ac:dyDescent="0.2">
      <c r="A8" s="105"/>
      <c r="B8" s="105"/>
      <c r="C8" s="561" t="s">
        <v>395</v>
      </c>
      <c r="D8" s="561"/>
      <c r="E8" s="561"/>
      <c r="F8" s="561"/>
      <c r="G8" s="561"/>
      <c r="H8" s="561"/>
      <c r="I8" s="561"/>
      <c r="J8" s="561"/>
      <c r="K8" s="561"/>
      <c r="L8" s="561"/>
      <c r="M8" s="561"/>
      <c r="N8" s="561"/>
      <c r="O8" s="107"/>
    </row>
    <row r="9" spans="1:15" ht="11.25" x14ac:dyDescent="0.15">
      <c r="A9" s="110"/>
      <c r="B9" s="70"/>
      <c r="C9" s="70"/>
      <c r="D9" s="70"/>
      <c r="E9" s="70"/>
      <c r="F9" s="70"/>
      <c r="G9" s="70"/>
      <c r="H9" s="70"/>
      <c r="I9" s="70"/>
      <c r="J9" s="70"/>
      <c r="K9" s="70"/>
      <c r="L9" s="70"/>
      <c r="M9" s="70"/>
      <c r="N9" s="70"/>
      <c r="O9" s="70"/>
    </row>
    <row r="10" spans="1:15" ht="18.75" x14ac:dyDescent="0.3">
      <c r="A10" s="110"/>
      <c r="B10" s="539">
        <v>1</v>
      </c>
      <c r="C10" s="133" t="s">
        <v>326</v>
      </c>
      <c r="D10" s="70"/>
      <c r="E10" s="70"/>
      <c r="F10" s="70"/>
      <c r="G10" s="70"/>
      <c r="H10" s="70"/>
      <c r="I10" s="70"/>
      <c r="J10" s="70"/>
      <c r="K10" s="70"/>
      <c r="L10" s="70"/>
      <c r="M10" s="70"/>
      <c r="N10" s="70"/>
      <c r="O10" s="70"/>
    </row>
    <row r="11" spans="1:15" ht="81.75" customHeight="1" x14ac:dyDescent="0.25">
      <c r="A11" s="110"/>
      <c r="B11" s="111"/>
      <c r="C11" s="561" t="s">
        <v>394</v>
      </c>
      <c r="D11" s="561"/>
      <c r="E11" s="561"/>
      <c r="F11" s="561"/>
      <c r="G11" s="561"/>
      <c r="H11" s="561"/>
      <c r="I11" s="561"/>
      <c r="J11" s="561"/>
      <c r="K11" s="561"/>
      <c r="L11" s="561"/>
      <c r="M11" s="561"/>
      <c r="N11" s="561"/>
      <c r="O11" s="70"/>
    </row>
    <row r="12" spans="1:15" ht="12.75" customHeight="1" x14ac:dyDescent="0.15">
      <c r="A12" s="110"/>
      <c r="B12" s="70"/>
      <c r="C12" s="70"/>
      <c r="D12" s="70"/>
      <c r="E12" s="70"/>
      <c r="F12" s="70"/>
      <c r="G12" s="70"/>
      <c r="H12" s="70"/>
      <c r="I12" s="70"/>
      <c r="J12" s="70"/>
      <c r="K12" s="70"/>
      <c r="L12" s="70"/>
      <c r="M12" s="70"/>
      <c r="N12" s="70"/>
      <c r="O12" s="70"/>
    </row>
    <row r="13" spans="1:15" ht="18.75" x14ac:dyDescent="0.3">
      <c r="A13" s="110"/>
      <c r="B13" s="539">
        <v>2</v>
      </c>
      <c r="C13" s="133" t="s">
        <v>324</v>
      </c>
      <c r="D13" s="70"/>
      <c r="E13" s="70"/>
      <c r="F13" s="70"/>
      <c r="G13" s="70"/>
      <c r="H13" s="70"/>
      <c r="I13" s="70"/>
      <c r="J13" s="70"/>
      <c r="K13" s="70"/>
      <c r="L13" s="70"/>
      <c r="M13" s="70"/>
      <c r="N13" s="70"/>
      <c r="O13" s="70"/>
    </row>
    <row r="14" spans="1:15" ht="52.5" customHeight="1" x14ac:dyDescent="0.25">
      <c r="A14" s="110"/>
      <c r="B14" s="111"/>
      <c r="C14" s="561" t="s">
        <v>362</v>
      </c>
      <c r="D14" s="561"/>
      <c r="E14" s="561"/>
      <c r="F14" s="561"/>
      <c r="G14" s="561"/>
      <c r="H14" s="561"/>
      <c r="I14" s="561"/>
      <c r="J14" s="561"/>
      <c r="K14" s="561"/>
      <c r="L14" s="561"/>
      <c r="M14" s="561"/>
      <c r="N14" s="561"/>
      <c r="O14" s="70"/>
    </row>
    <row r="15" spans="1:15" ht="12.75" customHeight="1" x14ac:dyDescent="0.3">
      <c r="A15" s="110"/>
      <c r="B15" s="115"/>
      <c r="C15" s="112"/>
      <c r="D15" s="70"/>
      <c r="E15" s="70"/>
      <c r="F15" s="70"/>
      <c r="G15" s="70"/>
      <c r="H15" s="70"/>
      <c r="I15" s="70"/>
      <c r="J15" s="70"/>
      <c r="K15" s="70"/>
      <c r="L15" s="70"/>
      <c r="M15" s="70"/>
      <c r="N15" s="70"/>
      <c r="O15" s="70"/>
    </row>
    <row r="16" spans="1:15" ht="18.75" x14ac:dyDescent="0.3">
      <c r="A16" s="110"/>
      <c r="B16" s="539">
        <v>3</v>
      </c>
      <c r="C16" s="133" t="s">
        <v>328</v>
      </c>
      <c r="D16" s="70"/>
      <c r="E16" s="70"/>
      <c r="F16" s="70"/>
      <c r="G16" s="70"/>
      <c r="H16" s="70"/>
      <c r="I16" s="70"/>
      <c r="J16" s="70"/>
      <c r="K16" s="70"/>
      <c r="L16" s="70"/>
      <c r="M16" s="70"/>
      <c r="N16" s="70"/>
      <c r="O16" s="70"/>
    </row>
    <row r="17" spans="1:15" ht="61.5" customHeight="1" x14ac:dyDescent="0.25">
      <c r="A17" s="110"/>
      <c r="B17" s="111"/>
      <c r="C17" s="561" t="s">
        <v>364</v>
      </c>
      <c r="D17" s="561"/>
      <c r="E17" s="561"/>
      <c r="F17" s="561"/>
      <c r="G17" s="561"/>
      <c r="H17" s="561"/>
      <c r="I17" s="561"/>
      <c r="J17" s="561"/>
      <c r="K17" s="561"/>
      <c r="L17" s="561"/>
      <c r="M17" s="561"/>
      <c r="N17" s="561"/>
      <c r="O17" s="70"/>
    </row>
    <row r="18" spans="1:15" ht="18.95" customHeight="1" x14ac:dyDescent="0.3">
      <c r="A18" s="110"/>
      <c r="B18" s="115"/>
      <c r="C18" s="112"/>
      <c r="D18" s="70"/>
      <c r="E18" s="70"/>
      <c r="F18" s="70"/>
      <c r="G18" s="70"/>
      <c r="H18" s="70"/>
      <c r="I18" s="70"/>
      <c r="J18" s="70"/>
      <c r="K18" s="70"/>
      <c r="L18" s="70"/>
      <c r="M18" s="70"/>
      <c r="N18" s="70"/>
      <c r="O18" s="70"/>
    </row>
    <row r="19" spans="1:15" ht="16.5" customHeight="1" x14ac:dyDescent="0.3">
      <c r="A19" s="110"/>
      <c r="B19" s="539">
        <v>4</v>
      </c>
      <c r="C19" s="133" t="s">
        <v>327</v>
      </c>
      <c r="D19" s="70"/>
      <c r="E19" s="70"/>
      <c r="F19" s="70"/>
      <c r="G19" s="70"/>
      <c r="H19" s="70"/>
      <c r="I19" s="70"/>
      <c r="J19" s="70"/>
      <c r="K19" s="70"/>
      <c r="L19" s="70"/>
      <c r="M19" s="70"/>
      <c r="N19" s="70"/>
      <c r="O19" s="70"/>
    </row>
    <row r="20" spans="1:15" ht="63.6" customHeight="1" x14ac:dyDescent="0.25">
      <c r="A20" s="110"/>
      <c r="B20" s="111"/>
      <c r="C20" s="561" t="s">
        <v>396</v>
      </c>
      <c r="D20" s="561"/>
      <c r="E20" s="561"/>
      <c r="F20" s="561"/>
      <c r="G20" s="561"/>
      <c r="H20" s="561"/>
      <c r="I20" s="561"/>
      <c r="J20" s="561"/>
      <c r="K20" s="561"/>
      <c r="L20" s="561"/>
      <c r="M20" s="561"/>
      <c r="N20" s="561"/>
      <c r="O20" s="70"/>
    </row>
    <row r="21" spans="1:15" ht="18.600000000000001" customHeight="1" x14ac:dyDescent="0.3">
      <c r="A21" s="110"/>
      <c r="B21" s="115"/>
      <c r="C21" s="112"/>
      <c r="D21" s="70"/>
      <c r="E21" s="70"/>
      <c r="F21" s="70"/>
      <c r="G21" s="70"/>
      <c r="H21" s="70"/>
      <c r="I21" s="70"/>
      <c r="J21" s="70"/>
      <c r="K21" s="70"/>
      <c r="L21" s="70"/>
      <c r="M21" s="70"/>
      <c r="N21" s="70"/>
      <c r="O21" s="70"/>
    </row>
    <row r="22" spans="1:15" ht="18" customHeight="1" x14ac:dyDescent="0.3">
      <c r="A22" s="110"/>
      <c r="B22" s="539">
        <v>5</v>
      </c>
      <c r="C22" s="133" t="s">
        <v>325</v>
      </c>
      <c r="D22" s="70"/>
      <c r="E22" s="70"/>
      <c r="F22" s="70"/>
      <c r="G22" s="70"/>
      <c r="H22" s="70"/>
      <c r="I22" s="70"/>
      <c r="J22" s="70"/>
      <c r="K22" s="70"/>
      <c r="L22" s="70"/>
      <c r="M22" s="70"/>
      <c r="N22" s="70"/>
      <c r="O22" s="70"/>
    </row>
    <row r="23" spans="1:15" ht="89.1" customHeight="1" x14ac:dyDescent="0.25">
      <c r="A23" s="110"/>
      <c r="B23" s="111"/>
      <c r="C23" s="561" t="s">
        <v>329</v>
      </c>
      <c r="D23" s="561"/>
      <c r="E23" s="561"/>
      <c r="F23" s="561"/>
      <c r="G23" s="561"/>
      <c r="H23" s="561"/>
      <c r="I23" s="561"/>
      <c r="J23" s="561"/>
      <c r="K23" s="561"/>
      <c r="L23" s="561"/>
      <c r="M23" s="561"/>
      <c r="N23" s="561"/>
      <c r="O23" s="70"/>
    </row>
    <row r="24" spans="1:15" ht="12.75" customHeight="1" x14ac:dyDescent="0.3">
      <c r="A24" s="110"/>
      <c r="B24" s="115"/>
      <c r="C24" s="112"/>
      <c r="D24" s="70"/>
      <c r="E24" s="70"/>
      <c r="F24" s="70"/>
      <c r="G24" s="70"/>
      <c r="H24" s="70"/>
      <c r="I24" s="70"/>
      <c r="J24" s="70"/>
      <c r="K24" s="70"/>
      <c r="L24" s="70"/>
      <c r="M24" s="70"/>
      <c r="N24" s="70"/>
      <c r="O24" s="70"/>
    </row>
    <row r="25" spans="1:15" ht="18.75" x14ac:dyDescent="0.3">
      <c r="A25" s="70"/>
      <c r="B25" s="539">
        <v>6</v>
      </c>
      <c r="C25" s="133" t="s">
        <v>385</v>
      </c>
      <c r="D25" s="70"/>
      <c r="E25" s="70"/>
      <c r="F25" s="70"/>
      <c r="G25" s="70"/>
      <c r="H25" s="70"/>
      <c r="I25" s="70"/>
      <c r="J25" s="70"/>
      <c r="K25" s="70"/>
      <c r="L25" s="70"/>
      <c r="M25" s="70"/>
      <c r="N25" s="70"/>
      <c r="O25" s="70"/>
    </row>
    <row r="26" spans="1:15" ht="67.5" customHeight="1" x14ac:dyDescent="0.25">
      <c r="A26" s="70"/>
      <c r="B26" s="111"/>
      <c r="C26" s="561" t="s">
        <v>386</v>
      </c>
      <c r="D26" s="561"/>
      <c r="E26" s="561"/>
      <c r="F26" s="561"/>
      <c r="G26" s="561"/>
      <c r="H26" s="561"/>
      <c r="I26" s="561"/>
      <c r="J26" s="561"/>
      <c r="K26" s="561"/>
      <c r="L26" s="561"/>
      <c r="M26" s="561"/>
      <c r="N26" s="561"/>
      <c r="O26" s="70"/>
    </row>
    <row r="27" spans="1:15" ht="12.75" customHeight="1" x14ac:dyDescent="0.15">
      <c r="A27" s="70"/>
      <c r="B27" s="70"/>
      <c r="C27" s="70"/>
      <c r="D27" s="70"/>
      <c r="E27" s="70"/>
      <c r="F27" s="70"/>
      <c r="G27" s="70"/>
      <c r="H27" s="70"/>
      <c r="I27" s="70"/>
      <c r="J27" s="70"/>
      <c r="K27" s="70"/>
      <c r="L27" s="70"/>
      <c r="M27" s="70"/>
      <c r="N27" s="70"/>
      <c r="O27" s="70"/>
    </row>
    <row r="28" spans="1:15" ht="12.75" customHeight="1" x14ac:dyDescent="0.15">
      <c r="A28" s="70"/>
      <c r="B28" s="70"/>
      <c r="C28" s="70"/>
      <c r="D28" s="70"/>
      <c r="E28" s="70"/>
      <c r="F28" s="70"/>
      <c r="G28" s="70"/>
      <c r="H28" s="70"/>
      <c r="I28" s="70"/>
      <c r="J28" s="70"/>
      <c r="K28" s="70"/>
      <c r="L28" s="70"/>
      <c r="M28" s="70"/>
      <c r="N28" s="70"/>
      <c r="O28" s="70"/>
    </row>
    <row r="29" spans="1:15" ht="12.75" customHeight="1" x14ac:dyDescent="0.15">
      <c r="A29" s="70"/>
      <c r="B29" s="70"/>
      <c r="C29" s="70"/>
      <c r="D29" s="70"/>
      <c r="E29" s="70"/>
      <c r="F29" s="70"/>
      <c r="G29" s="70"/>
      <c r="H29" s="70"/>
      <c r="I29" s="70"/>
      <c r="J29" s="70"/>
      <c r="K29" s="70"/>
      <c r="L29" s="70"/>
      <c r="M29" s="70"/>
      <c r="N29" s="70"/>
      <c r="O29" s="70"/>
    </row>
    <row r="30" spans="1:15" ht="12.75" customHeight="1" x14ac:dyDescent="0.15">
      <c r="A30" s="70"/>
      <c r="B30" s="70"/>
      <c r="C30" s="70"/>
      <c r="D30" s="70"/>
      <c r="E30" s="70"/>
      <c r="F30" s="70"/>
      <c r="G30" s="70"/>
      <c r="H30" s="70"/>
      <c r="I30" s="70"/>
      <c r="J30" s="70"/>
      <c r="K30" s="70"/>
      <c r="L30" s="70"/>
      <c r="M30" s="70"/>
      <c r="N30" s="70"/>
      <c r="O30" s="70"/>
    </row>
    <row r="31" spans="1:15" ht="12.75" customHeight="1" x14ac:dyDescent="0.15">
      <c r="A31" s="70"/>
      <c r="B31" s="70"/>
      <c r="C31" s="70"/>
      <c r="D31" s="70"/>
      <c r="E31" s="70"/>
      <c r="F31" s="70"/>
      <c r="G31" s="70"/>
      <c r="H31" s="70"/>
      <c r="I31" s="70"/>
      <c r="J31" s="70"/>
      <c r="K31" s="70"/>
      <c r="L31" s="70"/>
      <c r="M31" s="70"/>
      <c r="N31" s="70"/>
      <c r="O31" s="70"/>
    </row>
    <row r="32" spans="1:15" ht="12.75" customHeight="1" x14ac:dyDescent="0.15">
      <c r="A32" s="70"/>
      <c r="B32" s="70"/>
      <c r="C32" s="70"/>
      <c r="D32" s="70"/>
      <c r="E32" s="70"/>
      <c r="F32" s="70"/>
      <c r="G32" s="70"/>
      <c r="H32" s="70"/>
      <c r="I32" s="70"/>
      <c r="J32" s="70"/>
      <c r="K32" s="70"/>
      <c r="L32" s="70"/>
      <c r="M32" s="70"/>
      <c r="N32" s="70"/>
      <c r="O32" s="70"/>
    </row>
    <row r="33" spans="1:15" ht="12.75" customHeight="1" x14ac:dyDescent="0.15">
      <c r="A33" s="70"/>
      <c r="B33" s="70"/>
      <c r="C33" s="70"/>
      <c r="D33" s="70"/>
      <c r="E33" s="70"/>
      <c r="F33" s="70"/>
      <c r="G33" s="70"/>
      <c r="H33" s="70"/>
      <c r="I33" s="70"/>
      <c r="J33" s="70"/>
      <c r="K33" s="70"/>
      <c r="L33" s="70"/>
      <c r="M33" s="70"/>
      <c r="N33" s="70"/>
      <c r="O33" s="70"/>
    </row>
    <row r="34" spans="1:15" ht="12.75" customHeight="1" x14ac:dyDescent="0.15">
      <c r="A34" s="70"/>
      <c r="B34" s="70"/>
      <c r="C34" s="70"/>
      <c r="D34" s="70"/>
      <c r="E34" s="70"/>
      <c r="F34" s="70"/>
      <c r="G34" s="70"/>
      <c r="H34" s="70"/>
      <c r="I34" s="70"/>
      <c r="J34" s="70"/>
      <c r="K34" s="70"/>
      <c r="L34" s="70"/>
      <c r="M34" s="70"/>
      <c r="N34" s="70"/>
      <c r="O34" s="70"/>
    </row>
  </sheetData>
  <sheetProtection algorithmName="SHA-512" hashValue="fzEuouwQLnEKqzEA4tlJiXGQxxr2AHBa7q1D5Xd175gROzMWBdWc4ugU+Lz1DP2XeJmK+6mgw4RLCwrHraddqQ==" saltValue="ZgQREFflzm5R5f1AXIcpew==" spinCount="100000" sheet="1" objects="1" scenarios="1"/>
  <mergeCells count="8">
    <mergeCell ref="C26:N26"/>
    <mergeCell ref="B2:M3"/>
    <mergeCell ref="C17:N17"/>
    <mergeCell ref="C20:N20"/>
    <mergeCell ref="C23:N23"/>
    <mergeCell ref="C8:N8"/>
    <mergeCell ref="C11:N11"/>
    <mergeCell ref="C14:N14"/>
  </mergeCells>
  <hyperlinks>
    <hyperlink ref="B10:B11" location="'1'!A1" display="'1'!A1"/>
    <hyperlink ref="C10" location="'Tiltag 1'!A1" display="Tiltag 1 Udskiftning af varmeforsyning - Dokumenteret forbrug"/>
    <hyperlink ref="B13:B14" location="'1'!A1" display="'1'!A1"/>
    <hyperlink ref="C13" location="'Tiltag 2'!A1" display="Tiltag 2 Udskiftning af varmeforsyning - Energiforbrug beregnet via nøgletal "/>
    <hyperlink ref="B16:B17" location="'1'!A1" display="'1'!A1"/>
    <hyperlink ref="C16" location="'Tiltag 3'!A1" display="Tiltag 3 Udskifning af brændselskedler - Konventionelle grisestalde "/>
    <hyperlink ref="B19:B20" location="'1'!A1" display="'1'!A1"/>
    <hyperlink ref="C19" location="'Tiltag 4'!A1" display="Tiltag 4 Udskiftning af brændselskedler - Konventionelle slagtekyllingestalde "/>
    <hyperlink ref="B22:B23" location="'1'!A1" display="'1'!A1"/>
    <hyperlink ref="C22" location="'Tiltag 5'!A1" display="Tiltag 5 Virkningsgradsberegner brændselskedler "/>
    <hyperlink ref="B25:B26" location="'1'!A1" display="'1'!A1"/>
    <hyperlink ref="C25" location="'Tiltag 6'!A1" display="Tiltag 6 - Bestemmelse af årsvirkningsgrader for kaloriferer"/>
    <hyperlink ref="B10" location="'Tiltag 1'!A1" display="'Tiltag 1'!A1"/>
    <hyperlink ref="B13" location="'Tiltag 2'!A1" display="'Tiltag 2'!A1"/>
    <hyperlink ref="B16" location="'Tiltag 3'!A1" display="'Tiltag 3'!A1"/>
    <hyperlink ref="B19" location="'Tiltag 4'!A1" display="'Tiltag 4'!A1"/>
    <hyperlink ref="B22" location="'Tiltag 5'!A1" display="'Tiltag 5'!A1"/>
    <hyperlink ref="B25" location="'Tiltag 6'!A1" display="'Tiltag 6'!A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109"/>
  <sheetViews>
    <sheetView workbookViewId="0"/>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0" t="s">
        <v>37</v>
      </c>
      <c r="O1" s="690"/>
      <c r="R1" s="690" t="s">
        <v>38</v>
      </c>
      <c r="S1" s="690"/>
    </row>
    <row r="2" spans="1:35" ht="42" customHeight="1" x14ac:dyDescent="0.25">
      <c r="C2" s="10"/>
      <c r="D2" s="10"/>
      <c r="G2" s="8"/>
      <c r="H2" s="28" t="s">
        <v>20</v>
      </c>
      <c r="M2" s="11" t="e">
        <f>IF(N4=D3,1,IF(N5=D3,2,IF(N6=D3,3,IF(N7=D3,4,IF(N8=D3,5,IF(N9=D3,6,IF(N10=D3,7,"")))))))</f>
        <v>#N/A</v>
      </c>
      <c r="N2" s="10" t="e">
        <f>VLOOKUP(M2,M4:O10,2)</f>
        <v>#N/A</v>
      </c>
      <c r="O2" s="10" t="e">
        <f>VLOOKUP(M2,M4:O10,3)</f>
        <v>#N/A</v>
      </c>
      <c r="Q2" s="11" t="str">
        <f>IF(R4=D47,1,IF(R5=D47,2,IF(R6=D47,3,IF(R7=D47,4,IF(R8=D47,5,IF(R9=D47,6,IF(R10=D47,7,"")))))))</f>
        <v/>
      </c>
      <c r="R2" s="7" t="e">
        <f>VLOOKUP(Q2,Q4:S10,2)</f>
        <v>#N/A</v>
      </c>
      <c r="S2" s="7" t="e">
        <f>VLOOKUP(Q2,Q4:S10,3)</f>
        <v>#N/A</v>
      </c>
      <c r="AB2" s="10" t="s">
        <v>1</v>
      </c>
      <c r="AC2" s="10">
        <v>0.01</v>
      </c>
    </row>
    <row r="3" spans="1:35" ht="15" customHeight="1" x14ac:dyDescent="0.25">
      <c r="A3" s="7" t="s">
        <v>209</v>
      </c>
      <c r="C3" s="7" t="s">
        <v>0</v>
      </c>
      <c r="D3" s="7" t="e">
        <f>VLOOKUP(E3,E95:G108,3,FALSE)</f>
        <v>#N/A</v>
      </c>
      <c r="E3" s="7">
        <f>'Tiltag 3'!I36</f>
        <v>0</v>
      </c>
      <c r="F3" s="131" t="e">
        <f>O2</f>
        <v>#N/A</v>
      </c>
      <c r="G3" s="8"/>
    </row>
    <row r="4" spans="1:35" ht="15" customHeight="1" x14ac:dyDescent="0.25">
      <c r="A4" s="128" t="e">
        <f>IF(#REF!&lt;&gt;1,"Fejl",VLOOKUP(1,#REF!,4,FALSE))</f>
        <v>#REF!</v>
      </c>
      <c r="C4" s="7" t="s">
        <v>1</v>
      </c>
      <c r="D4" s="129">
        <f>'Tiltag 3'!C40</f>
        <v>0</v>
      </c>
      <c r="F4" s="132" t="e">
        <f xml:space="preserve"> 0.0043*LN(D4) + 0.93</f>
        <v>#NUM!</v>
      </c>
      <c r="G4" s="8"/>
      <c r="M4" s="7">
        <v>1</v>
      </c>
      <c r="N4" s="7" t="s">
        <v>6</v>
      </c>
      <c r="O4" s="14">
        <f ca="1">O12</f>
        <v>0.51843511609559978</v>
      </c>
      <c r="Q4" s="7">
        <v>1</v>
      </c>
      <c r="R4" s="7" t="s">
        <v>6</v>
      </c>
      <c r="S4" s="14">
        <f ca="1">S12</f>
        <v>0.99039999999999995</v>
      </c>
      <c r="AB4" s="7">
        <v>1000</v>
      </c>
      <c r="AC4" s="14">
        <v>0.96</v>
      </c>
    </row>
    <row r="5" spans="1:35" ht="15" customHeight="1" x14ac:dyDescent="0.25">
      <c r="A5" s="128"/>
      <c r="C5" s="7" t="s">
        <v>2</v>
      </c>
      <c r="D5" s="129">
        <f ca="1">C17-'Tiltag 3'!E40</f>
        <v>2023</v>
      </c>
      <c r="F5" s="8"/>
      <c r="G5" s="8"/>
      <c r="K5" s="15" t="str">
        <f>IF(N4=E3,1,IF(N5=E3,2,IF(N6=E3,3,IF(N7=E3,4,IF(N8=E3,5,"")))))</f>
        <v/>
      </c>
      <c r="M5" s="7">
        <v>2</v>
      </c>
      <c r="N5" s="7" t="s">
        <v>12</v>
      </c>
      <c r="O5" s="14">
        <f ca="1">O21</f>
        <v>0.47517343190976091</v>
      </c>
      <c r="Q5" s="7">
        <v>2</v>
      </c>
      <c r="R5" s="7" t="s">
        <v>12</v>
      </c>
      <c r="S5" s="14">
        <f ca="1">S21</f>
        <v>0.98519999999999996</v>
      </c>
      <c r="AB5" s="7">
        <v>100</v>
      </c>
      <c r="AC5" s="14">
        <f>AC4-AC2</f>
        <v>0.95</v>
      </c>
    </row>
    <row r="6" spans="1:35" ht="15" customHeight="1" x14ac:dyDescent="0.25">
      <c r="A6" s="128"/>
      <c r="C6" s="7" t="s">
        <v>3</v>
      </c>
      <c r="D6" s="129" t="e">
        <f>'Virkningsgradsberegner 3'!C92/100</f>
        <v>#N/A</v>
      </c>
      <c r="G6" s="8"/>
      <c r="H6" s="8"/>
      <c r="I6" s="8"/>
      <c r="J6" s="8"/>
      <c r="K6" s="8"/>
      <c r="L6" s="8"/>
      <c r="M6" s="7">
        <v>3</v>
      </c>
      <c r="N6" s="7" t="s">
        <v>13</v>
      </c>
      <c r="O6" s="14">
        <f ca="1">O30</f>
        <v>0.46308576874692875</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0.3634870740495868</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0.49803511609559975</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0.50519809558409645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0.47517343190976091</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0.51843511609559978</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7"/>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2023</v>
      </c>
      <c r="D17" s="7">
        <f ca="1">C17-3</f>
        <v>2020</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0.47517343190976091</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0.46308576874692875</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0.3634870740495868</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f>IF(OR('Tiltag 1'!G33="Fyringsolie",'Tiltag 1'!G33="Heavy Fuel Oil"),"Olie",E47)</f>
        <v>0</v>
      </c>
      <c r="E47" s="7">
        <f>'Tiltag 3'!I42</f>
        <v>0</v>
      </c>
      <c r="F47" s="12" t="e">
        <f>S2</f>
        <v>#N/A</v>
      </c>
    </row>
    <row r="48" spans="3:19" ht="15" customHeight="1" x14ac:dyDescent="0.25">
      <c r="C48" s="7" t="s">
        <v>1</v>
      </c>
      <c r="D48" s="7">
        <f>'Tiltag 1'!G18</f>
        <v>0</v>
      </c>
      <c r="F48" s="13" t="e">
        <f xml:space="preserve"> 0.0043*LN(D48) + 0.93</f>
        <v>#NUM!</v>
      </c>
      <c r="N48" s="10" t="s">
        <v>14</v>
      </c>
      <c r="O48" s="10">
        <f ca="1">-0.062*LN(D5) + 0.97</f>
        <v>0.49803511609559975</v>
      </c>
      <c r="P48" s="7">
        <v>0.95</v>
      </c>
      <c r="R48" s="10" t="s">
        <v>14</v>
      </c>
      <c r="S48" s="10">
        <f ca="1">-0.062*LN(C17-D49+1) + 0.97</f>
        <v>0.97</v>
      </c>
    </row>
    <row r="49" spans="1:19" ht="15" customHeight="1" x14ac:dyDescent="0.25">
      <c r="C49" s="7" t="s">
        <v>2</v>
      </c>
      <c r="D49" s="7">
        <f ca="1">C17</f>
        <v>2023</v>
      </c>
    </row>
    <row r="50" spans="1:19" ht="15" customHeight="1" x14ac:dyDescent="0.25">
      <c r="C50" s="7" t="s">
        <v>3</v>
      </c>
      <c r="D50" s="7">
        <f>'Tiltag 1'!G35</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c r="E55" s="7">
        <f>IF(OR('Tiltag 1'!G33="Fyringsolie",'Tiltag 1'!G33="Heavy Fuel Oil"),"Olie",'Tiltag 1'!G16)</f>
        <v>0</v>
      </c>
    </row>
    <row r="57" spans="1:19" ht="15" customHeight="1" x14ac:dyDescent="0.25">
      <c r="C57" s="16" t="s">
        <v>8</v>
      </c>
      <c r="D57" s="7" t="e">
        <f>F48</f>
        <v>#NUM!</v>
      </c>
      <c r="N57" s="10" t="s">
        <v>15</v>
      </c>
      <c r="O57" s="10">
        <f ca="1">-0.065*LN(D5) + 0.99999999</f>
        <v>0.50519809558409645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0.47517343190976091</v>
      </c>
    </row>
    <row r="66" spans="2:15" ht="15" customHeight="1" x14ac:dyDescent="0.25">
      <c r="N66" s="7">
        <v>1</v>
      </c>
      <c r="O66" s="14">
        <f xml:space="preserve"> -0.067*LN(1) + 0.9852</f>
        <v>0.98519999999999996</v>
      </c>
    </row>
    <row r="67" spans="2:15" ht="15" customHeight="1" x14ac:dyDescent="0.25">
      <c r="N67" s="7">
        <v>10</v>
      </c>
      <c r="O67" s="14">
        <f xml:space="preserve"> -0.067*LN(10) + 0.9852</f>
        <v>0.8309267987693989</v>
      </c>
    </row>
    <row r="68" spans="2:15" ht="15" customHeight="1" x14ac:dyDescent="0.25">
      <c r="N68" s="7">
        <v>30</v>
      </c>
      <c r="O68" s="14">
        <f xml:space="preserve"> -0.067*LN(30) + 0.9852</f>
        <v>0.7573197754286356</v>
      </c>
    </row>
    <row r="69" spans="2:15" ht="15" customHeight="1" x14ac:dyDescent="0.25">
      <c r="B69" s="685" t="s">
        <v>49</v>
      </c>
      <c r="C69" s="686"/>
      <c r="D69" s="119"/>
    </row>
    <row r="70" spans="2:15" ht="15" customHeight="1" x14ac:dyDescent="0.25">
      <c r="B70" s="120" t="s">
        <v>0</v>
      </c>
      <c r="C70" s="121" t="e">
        <f>VLOOKUP(A64,E95:G104,2,FALSE)</f>
        <v>#N/A</v>
      </c>
      <c r="D70" s="123"/>
      <c r="E70" s="687" t="s">
        <v>28</v>
      </c>
      <c r="F70" s="688"/>
      <c r="G70" s="689"/>
      <c r="H70" s="19"/>
      <c r="I70" s="19"/>
      <c r="J70" s="20"/>
      <c r="K70" s="19"/>
      <c r="L70" s="19"/>
      <c r="M70" s="19"/>
    </row>
    <row r="71" spans="2:15" ht="15" customHeight="1" x14ac:dyDescent="0.25">
      <c r="B71" s="120" t="s">
        <v>35</v>
      </c>
      <c r="C71" s="121" t="e">
        <f>INDEX(F71:F77,MATCH(C70,E71:E77,0))</f>
        <v>#N/A</v>
      </c>
      <c r="D71" s="123" t="e">
        <f>IF(C70="Olie","kWh/Liter",IF(C70="Naturgas","kWh/Nm3","kWh/Kg"))</f>
        <v>#N/A</v>
      </c>
      <c r="E71" s="21" t="s">
        <v>29</v>
      </c>
      <c r="F71" s="21">
        <v>11</v>
      </c>
      <c r="G71" s="22" t="s">
        <v>30</v>
      </c>
      <c r="H71" s="23" t="s">
        <v>31</v>
      </c>
      <c r="I71" s="19"/>
      <c r="J71" s="20"/>
      <c r="K71" s="19"/>
      <c r="L71" s="19"/>
      <c r="M71" s="19"/>
    </row>
    <row r="72" spans="2:15" ht="15" customHeight="1" x14ac:dyDescent="0.25">
      <c r="B72" s="120"/>
      <c r="C72" s="121"/>
      <c r="D72" s="123"/>
      <c r="E72" s="21" t="s">
        <v>204</v>
      </c>
      <c r="F72" s="21">
        <v>9.8699999999999992</v>
      </c>
      <c r="G72" s="22" t="s">
        <v>32</v>
      </c>
      <c r="H72" s="23" t="s">
        <v>31</v>
      </c>
      <c r="I72" s="19"/>
      <c r="J72" s="20"/>
      <c r="K72" s="19"/>
      <c r="L72" s="19"/>
      <c r="M72" s="19"/>
    </row>
    <row r="73" spans="2:15" ht="15" customHeight="1" x14ac:dyDescent="0.25">
      <c r="B73" s="120" t="s">
        <v>36</v>
      </c>
      <c r="C73" s="121" t="e">
        <f>'Tiltag 1'!#REF!</f>
        <v>#REF!</v>
      </c>
      <c r="D73" s="123" t="e">
        <f>IF(C70="Olie","Liter",IF(C70="Naturgas","Nm3","Kg"))</f>
        <v>#N/A</v>
      </c>
      <c r="E73" s="21" t="s">
        <v>338</v>
      </c>
      <c r="F73" s="21">
        <v>3.83</v>
      </c>
      <c r="G73" s="22" t="s">
        <v>33</v>
      </c>
      <c r="H73" s="23" t="s">
        <v>31</v>
      </c>
      <c r="I73" s="19"/>
      <c r="J73" s="20"/>
      <c r="K73" s="19"/>
      <c r="L73" s="19"/>
      <c r="M73" s="19"/>
    </row>
    <row r="74" spans="2:15" ht="15" customHeight="1" x14ac:dyDescent="0.25">
      <c r="B74" s="120"/>
      <c r="C74" s="121"/>
      <c r="D74" s="123"/>
      <c r="E74" s="21" t="s">
        <v>6</v>
      </c>
      <c r="F74" s="21">
        <v>4.67</v>
      </c>
      <c r="G74" s="22" t="s">
        <v>33</v>
      </c>
      <c r="H74" s="23" t="s">
        <v>31</v>
      </c>
      <c r="I74" s="19"/>
      <c r="J74" s="20"/>
      <c r="K74" s="19"/>
      <c r="L74" s="19"/>
      <c r="M74" s="19"/>
    </row>
    <row r="75" spans="2:15" ht="15" customHeight="1" x14ac:dyDescent="0.25">
      <c r="B75" s="120" t="s">
        <v>39</v>
      </c>
      <c r="C75" s="121" t="e">
        <f>IF('Tiltag 1'!G28="Ja",Graddageberegner!E27,Graddageberegner!C27)</f>
        <v>#N/A</v>
      </c>
      <c r="D75" s="123" t="s">
        <v>41</v>
      </c>
      <c r="E75" s="21" t="s">
        <v>121</v>
      </c>
      <c r="F75" s="113">
        <v>6.6150000000000002</v>
      </c>
      <c r="G75" s="22" t="s">
        <v>33</v>
      </c>
      <c r="H75" s="23" t="s">
        <v>31</v>
      </c>
      <c r="I75" s="19"/>
      <c r="J75" s="20"/>
      <c r="K75" s="19"/>
      <c r="L75" s="19"/>
      <c r="M75" s="19"/>
    </row>
    <row r="76" spans="2:15" ht="15" customHeight="1" x14ac:dyDescent="0.25">
      <c r="B76" s="120"/>
      <c r="C76" s="121"/>
      <c r="D76" s="123"/>
      <c r="E76" s="21" t="s">
        <v>122</v>
      </c>
      <c r="F76" s="21">
        <v>7.92</v>
      </c>
      <c r="G76" s="22" t="s">
        <v>33</v>
      </c>
      <c r="H76" s="23" t="s">
        <v>31</v>
      </c>
      <c r="I76" s="19"/>
      <c r="J76" s="19"/>
      <c r="K76" s="19"/>
      <c r="L76" s="19"/>
      <c r="M76" s="19"/>
    </row>
    <row r="77" spans="2:15" ht="15" customHeight="1" x14ac:dyDescent="0.15">
      <c r="B77" s="124" t="s">
        <v>40</v>
      </c>
      <c r="C77" s="125" t="e">
        <f>C75*(D14/100)</f>
        <v>#N/A</v>
      </c>
      <c r="D77" s="126" t="s">
        <v>41</v>
      </c>
      <c r="E77" s="21" t="s">
        <v>127</v>
      </c>
      <c r="F77" s="21">
        <v>10.89</v>
      </c>
      <c r="G77" s="22" t="s">
        <v>32</v>
      </c>
    </row>
    <row r="78" spans="2:15" ht="15" customHeight="1" x14ac:dyDescent="0.15">
      <c r="E78" s="24" t="s">
        <v>5</v>
      </c>
      <c r="F78" s="114">
        <v>4.0277777777777777</v>
      </c>
      <c r="G78" s="25" t="s">
        <v>33</v>
      </c>
      <c r="I78" s="7" t="s">
        <v>120</v>
      </c>
    </row>
    <row r="79" spans="2:15" ht="15" customHeight="1" x14ac:dyDescent="0.25">
      <c r="I79" s="7" t="s">
        <v>122</v>
      </c>
      <c r="J79" s="7">
        <v>7.92</v>
      </c>
    </row>
    <row r="80" spans="2:15" ht="15" customHeight="1" x14ac:dyDescent="0.25">
      <c r="B80" s="685" t="s">
        <v>48</v>
      </c>
      <c r="C80" s="686"/>
      <c r="D80" s="119"/>
      <c r="I80" s="7" t="s">
        <v>123</v>
      </c>
      <c r="J80" s="7">
        <v>4.7</v>
      </c>
    </row>
    <row r="81" spans="2:14" ht="15" customHeight="1" x14ac:dyDescent="0.15">
      <c r="B81" s="120" t="s">
        <v>0</v>
      </c>
      <c r="C81" s="121">
        <f>E47</f>
        <v>0</v>
      </c>
      <c r="D81" s="123"/>
      <c r="I81" s="7" t="s">
        <v>124</v>
      </c>
      <c r="J81" s="7">
        <v>8.5299999999999994</v>
      </c>
      <c r="M81" s="21" t="s">
        <v>29</v>
      </c>
      <c r="N81" s="7" t="str">
        <f>LOWER(M81)</f>
        <v>naturgas</v>
      </c>
    </row>
    <row r="82" spans="2:14" ht="15" customHeight="1" x14ac:dyDescent="0.15">
      <c r="B82" s="120" t="s">
        <v>35</v>
      </c>
      <c r="C82" s="121" t="e">
        <f>IF(C81="Varmepumpe","",IF(C81="Fjernvarme","",IF(C81="Elkedel","",INDEX(F71:F83,MATCH(C81,E71:E83,0)))))</f>
        <v>#N/A</v>
      </c>
      <c r="D82" s="123" t="str">
        <f>IF(C81="Olie","kWh/Liter",IF(C81="Naturgas","kWh/Nm3","kWh/Kg"))</f>
        <v>kWh/Kg</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13</v>
      </c>
      <c r="N83" s="7" t="str">
        <f t="shared" si="0"/>
        <v>flis</v>
      </c>
    </row>
    <row r="84" spans="2:14" ht="15" customHeight="1" x14ac:dyDescent="0.15">
      <c r="B84" s="120" t="s">
        <v>133</v>
      </c>
      <c r="C84" s="121" t="e">
        <f>C77</f>
        <v>#N/A</v>
      </c>
      <c r="D84" s="123" t="s">
        <v>41</v>
      </c>
      <c r="E84" s="117" t="s">
        <v>118</v>
      </c>
      <c r="F84" s="7">
        <v>1</v>
      </c>
      <c r="M84" s="21" t="s">
        <v>6</v>
      </c>
      <c r="N84" s="7" t="str">
        <f t="shared" si="0"/>
        <v>træpiller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IF(C81="Varmepumpe",C84/'Tiltag 1'!G35,IF(C81="Fjernvarme",C84,IF(C81="Elkedel",C84,C84/(C103/100))))</f>
        <v>#N/A</v>
      </c>
      <c r="D86" s="123" t="s">
        <v>41</v>
      </c>
      <c r="E86" s="21" t="s">
        <v>126</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str">
        <f>IF(C81="Olie","Liter",IF(C81="Naturgas","Nm3","Kg"))</f>
        <v>Kg</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f>IF(C81="Fjernvarme","",'Tiltag 1'!G37)</f>
        <v>0</v>
      </c>
      <c r="D90" s="126"/>
      <c r="E90" s="118" t="s">
        <v>127</v>
      </c>
      <c r="M90" s="7" t="s">
        <v>135</v>
      </c>
      <c r="N90" s="7" t="e">
        <f>VLOOKUP('Tiltag 1'!G16,'Forbrugsberegner 3'!M81:N88,2,FALSE)</f>
        <v>#N/A</v>
      </c>
    </row>
    <row r="91" spans="2:14" ht="15" customHeight="1" x14ac:dyDescent="0.15">
      <c r="E91" s="21" t="s">
        <v>121</v>
      </c>
    </row>
    <row r="92" spans="2:14" ht="15" customHeight="1" x14ac:dyDescent="0.15">
      <c r="B92" s="685" t="s">
        <v>43</v>
      </c>
      <c r="C92" s="686"/>
      <c r="D92" s="119"/>
      <c r="E92" s="21" t="s">
        <v>122</v>
      </c>
    </row>
    <row r="93" spans="2:14" ht="15" customHeight="1" x14ac:dyDescent="0.25">
      <c r="B93" s="120" t="s">
        <v>46</v>
      </c>
      <c r="C93" s="121" t="e">
        <f>VLOOKUP(A64,E95:G107,2,FALSE)</f>
        <v>#N/A</v>
      </c>
      <c r="D93" s="123"/>
    </row>
    <row r="94" spans="2:14" ht="15" customHeight="1" x14ac:dyDescent="0.25">
      <c r="B94" s="120" t="s">
        <v>35</v>
      </c>
      <c r="C94" s="121" t="e">
        <f>INDEX(F71:F77,MATCH(C70,E71:E77,0))</f>
        <v>#N/A</v>
      </c>
      <c r="D94" s="123" t="e">
        <f>IF(C93="Fyringsolie","kWh/Liter",IF(C93="Naturgas","kWh/Nm3","kWh/Kg"))</f>
        <v>#N/A</v>
      </c>
      <c r="E94" s="261" t="s">
        <v>202</v>
      </c>
      <c r="F94" s="7" t="s">
        <v>203</v>
      </c>
      <c r="G94" s="261" t="s">
        <v>363</v>
      </c>
      <c r="L94" s="7" t="s">
        <v>313</v>
      </c>
    </row>
    <row r="95" spans="2:14" ht="15" customHeight="1" x14ac:dyDescent="0.25">
      <c r="B95" s="120"/>
      <c r="C95" s="121"/>
      <c r="D95" s="123"/>
      <c r="E95" s="7" t="s">
        <v>194</v>
      </c>
      <c r="F95" s="7" t="s">
        <v>29</v>
      </c>
      <c r="G95" s="7" t="s">
        <v>29</v>
      </c>
      <c r="L95" s="7" t="s">
        <v>194</v>
      </c>
    </row>
    <row r="96" spans="2:14" ht="15" customHeight="1" x14ac:dyDescent="0.25">
      <c r="B96" s="120" t="s">
        <v>1</v>
      </c>
      <c r="C96" s="121">
        <f>D4</f>
        <v>0</v>
      </c>
      <c r="D96" s="123" t="s">
        <v>22</v>
      </c>
      <c r="E96" s="7" t="s">
        <v>195</v>
      </c>
      <c r="F96" s="7" t="s">
        <v>204</v>
      </c>
      <c r="G96" s="7" t="s">
        <v>14</v>
      </c>
      <c r="L96" s="7" t="s">
        <v>195</v>
      </c>
    </row>
    <row r="97" spans="2:12" ht="15" customHeight="1" x14ac:dyDescent="0.25">
      <c r="B97" s="120" t="s">
        <v>136</v>
      </c>
      <c r="C97" s="121">
        <f>C96*8760</f>
        <v>0</v>
      </c>
      <c r="D97" s="123" t="s">
        <v>41</v>
      </c>
      <c r="E97" s="7" t="s">
        <v>196</v>
      </c>
      <c r="F97" s="7" t="s">
        <v>338</v>
      </c>
      <c r="G97" s="7" t="s">
        <v>13</v>
      </c>
      <c r="L97" s="7" t="s">
        <v>196</v>
      </c>
    </row>
    <row r="98" spans="2:12" ht="15" customHeight="1" x14ac:dyDescent="0.25">
      <c r="B98" s="124" t="s">
        <v>137</v>
      </c>
      <c r="C98" s="125" t="e">
        <f>C97/C94</f>
        <v>#N/A</v>
      </c>
      <c r="D98" s="126" t="e">
        <f>IF(C93="Fyringsolie","Liter",IF(C93="Naturgas","Nm3","Kg"))</f>
        <v>#N/A</v>
      </c>
      <c r="E98" s="7" t="s">
        <v>197</v>
      </c>
      <c r="F98" s="7" t="s">
        <v>361</v>
      </c>
      <c r="G98" s="7" t="s">
        <v>6</v>
      </c>
      <c r="L98" s="7" t="s">
        <v>197</v>
      </c>
    </row>
    <row r="99" spans="2:12" ht="15" customHeight="1" x14ac:dyDescent="0.25">
      <c r="E99" s="7" t="s">
        <v>198</v>
      </c>
      <c r="F99" s="7" t="s">
        <v>121</v>
      </c>
      <c r="G99" s="7" t="s">
        <v>98</v>
      </c>
      <c r="L99" s="7" t="s">
        <v>201</v>
      </c>
    </row>
    <row r="100" spans="2:12" ht="15" customHeight="1" x14ac:dyDescent="0.25">
      <c r="B100" s="685" t="s">
        <v>87</v>
      </c>
      <c r="C100" s="686"/>
      <c r="D100" s="119"/>
      <c r="E100" s="7" t="s">
        <v>199</v>
      </c>
      <c r="F100" s="7" t="s">
        <v>122</v>
      </c>
      <c r="G100" s="7" t="s">
        <v>98</v>
      </c>
    </row>
    <row r="101" spans="2:12" ht="15" customHeight="1" x14ac:dyDescent="0.25">
      <c r="B101" s="120" t="s">
        <v>47</v>
      </c>
      <c r="C101" s="465">
        <f>'Tiltag 3'!E46</f>
        <v>0</v>
      </c>
      <c r="D101" s="122" t="s">
        <v>23</v>
      </c>
      <c r="E101" s="7" t="s">
        <v>200</v>
      </c>
      <c r="F101" s="7" t="s">
        <v>206</v>
      </c>
      <c r="G101" s="7" t="s">
        <v>14</v>
      </c>
    </row>
    <row r="102" spans="2:12" ht="15" customHeight="1" x14ac:dyDescent="0.25">
      <c r="B102" s="120" t="s">
        <v>45</v>
      </c>
      <c r="C102" s="121">
        <f>'Tiltag 3'!C46</f>
        <v>0</v>
      </c>
      <c r="D102" s="123" t="s">
        <v>22</v>
      </c>
      <c r="E102" s="7" t="s">
        <v>169</v>
      </c>
      <c r="F102" s="7" t="s">
        <v>29</v>
      </c>
      <c r="G102" s="7" t="s">
        <v>29</v>
      </c>
    </row>
    <row r="103" spans="2:12" ht="15" customHeight="1" x14ac:dyDescent="0.25">
      <c r="B103" s="124" t="s">
        <v>50</v>
      </c>
      <c r="C103" s="125" t="e">
        <f>IF(C81="Varmepumpe","",IF(C81="Fjernvarme","",IF(C81="Elkedel","",C101*(0.0043*LN(C102)+0.93))))</f>
        <v>#NUM!</v>
      </c>
      <c r="D103" s="126" t="s">
        <v>23</v>
      </c>
      <c r="E103" s="7" t="s">
        <v>170</v>
      </c>
      <c r="F103" s="7" t="s">
        <v>204</v>
      </c>
      <c r="G103" s="7" t="s">
        <v>14</v>
      </c>
    </row>
    <row r="104" spans="2:12" ht="15" customHeight="1" x14ac:dyDescent="0.25">
      <c r="E104" s="7" t="s">
        <v>171</v>
      </c>
      <c r="F104" s="7" t="s">
        <v>29</v>
      </c>
      <c r="G104" s="7" t="s">
        <v>29</v>
      </c>
    </row>
    <row r="105" spans="2:12" ht="15" customHeight="1" x14ac:dyDescent="0.25">
      <c r="E105" s="7" t="s">
        <v>52</v>
      </c>
      <c r="F105" s="7" t="s">
        <v>52</v>
      </c>
      <c r="G105" s="7" t="s">
        <v>52</v>
      </c>
    </row>
    <row r="106" spans="2:12" ht="15" customHeight="1" x14ac:dyDescent="0.25">
      <c r="E106" s="7" t="s">
        <v>51</v>
      </c>
      <c r="F106" s="7" t="s">
        <v>216</v>
      </c>
      <c r="G106" s="7" t="s">
        <v>216</v>
      </c>
    </row>
    <row r="107" spans="2:12" ht="15" customHeight="1" x14ac:dyDescent="0.25">
      <c r="B107" s="7" t="s">
        <v>132</v>
      </c>
      <c r="C107" s="7">
        <f>IF(OR('Tiltag 1'!G33="Elkedel",'Tiltag 1'!G33="Varmepumpe"),"Elektricitet",'Tiltag 1'!G33)</f>
        <v>0</v>
      </c>
      <c r="E107" s="7" t="s">
        <v>118</v>
      </c>
      <c r="F107" s="7" t="s">
        <v>216</v>
      </c>
      <c r="G107" s="7" t="s">
        <v>216</v>
      </c>
    </row>
    <row r="108" spans="2:12" ht="15" customHeight="1" x14ac:dyDescent="0.25">
      <c r="B108" s="7" t="s">
        <v>129</v>
      </c>
      <c r="C108" s="7">
        <f>IF('Tiltag 1'!G16="Fyringsolie","Gas-/dieselolie",IF('Tiltag 1'!G16="Heavy Fuel Oil","Fuelolie",IF('Tiltag 1'!G16="Flis","Skovflis",'Tiltag 1'!G16)))</f>
        <v>0</v>
      </c>
      <c r="E108" s="7" t="s">
        <v>201</v>
      </c>
      <c r="F108" s="7" t="s">
        <v>5</v>
      </c>
      <c r="G108" s="7" t="s">
        <v>5</v>
      </c>
    </row>
    <row r="109" spans="2:12" ht="15" customHeight="1" x14ac:dyDescent="0.25">
      <c r="B109" s="7" t="s">
        <v>130</v>
      </c>
      <c r="C109" s="7">
        <f>IF('Tiltag 1'!G33="Fyringsolie","Gas-/dieselolie",IF('Tiltag 1'!G33="Flis","Skovflis",IF(OR('Tiltag 1'!G33="Elkedel",'Tiltag 1'!G33="Varmepumpe"),"Elektricitet",'Tiltag 1'!G33)))</f>
        <v>0</v>
      </c>
    </row>
  </sheetData>
  <sheetProtection selectLockedCells="1" selectUnlockedCells="1"/>
  <mergeCells count="7">
    <mergeCell ref="B100:C100"/>
    <mergeCell ref="N1:O1"/>
    <mergeCell ref="R1:S1"/>
    <mergeCell ref="B69:C69"/>
    <mergeCell ref="E70:G70"/>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O92"/>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'Forbrugsberegner 3'!D4</f>
        <v>0</v>
      </c>
    </row>
    <row r="4" spans="1:13" x14ac:dyDescent="0.25">
      <c r="B4" s="206" t="s">
        <v>61</v>
      </c>
      <c r="C4" s="207" t="e">
        <f>'Forbrugsberegner 3'!D3</f>
        <v>#N/A</v>
      </c>
      <c r="K4">
        <f ca="1">YEAR(TODAY())</f>
        <v>2023</v>
      </c>
    </row>
    <row r="5" spans="1:13" x14ac:dyDescent="0.25">
      <c r="B5" s="206" t="s">
        <v>68</v>
      </c>
      <c r="C5" s="46">
        <f>'Tiltag 3'!E40</f>
        <v>0</v>
      </c>
    </row>
    <row r="6" spans="1:13" ht="25.5" customHeight="1" thickBot="1" x14ac:dyDescent="0.3">
      <c r="B6" s="211" t="s">
        <v>58</v>
      </c>
      <c r="C6" s="58" t="e">
        <f>IF(OR(C4="Halm",C4="Træflis",C4="Træpiller"),1,IF(AND(C3&gt;0,C3&lt;69.999),1,IF(AND(C3&gt;69.999,C3&lt;199.999),2,IF(AND(C3&gt;199.999,C3&lt;1000.001),3,0))))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37" t="s">
        <v>143</v>
      </c>
      <c r="D11" s="438">
        <v>0.84</v>
      </c>
      <c r="E11" s="439">
        <v>0.86</v>
      </c>
      <c r="F11" s="439">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+INDEX(D42:D46,MATCH(M13,C42:C46,0),MATCH(C6,D41,1))</f>
        <v>#N/A</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v>1</v>
      </c>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t="s">
        <v>307</v>
      </c>
      <c r="C78" s="38" t="e">
        <f>+INDEX(D76:D76,MATCH(M13,C76:C76,0),MATCH(C6,D75,1))</f>
        <v>#N/A</v>
      </c>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#N/A</v>
      </c>
    </row>
    <row r="88" spans="2:3" x14ac:dyDescent="0.25">
      <c r="B88" t="s">
        <v>13</v>
      </c>
      <c r="C88" t="e">
        <f>C58</f>
        <v>#N/A</v>
      </c>
    </row>
    <row r="89" spans="2:3" x14ac:dyDescent="0.25">
      <c r="B89" t="s">
        <v>6</v>
      </c>
      <c r="C89" t="e">
        <f>C68</f>
        <v>#N/A</v>
      </c>
    </row>
    <row r="90" spans="2:3" x14ac:dyDescent="0.25">
      <c r="B90" t="s">
        <v>98</v>
      </c>
      <c r="C90" s="64">
        <f>IF(OR('Tiltag 1'!G16="Stenkul",'Tiltag 1'!G16="Koks"),'Virkningsgradsberegner 3'!D76,)</f>
        <v>0</v>
      </c>
    </row>
    <row r="91" spans="2:3" x14ac:dyDescent="0.25">
      <c r="B91" t="s">
        <v>12</v>
      </c>
      <c r="C91" s="64" t="e">
        <f>C78</f>
        <v>#N/A</v>
      </c>
    </row>
    <row r="92" spans="2:3" x14ac:dyDescent="0.25">
      <c r="B92" t="s">
        <v>44</v>
      </c>
      <c r="C92" t="e">
        <f>+INDEX(C85:C91,MATCH(C4,B85:B91,0))*100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38"/>
  <sheetViews>
    <sheetView workbookViewId="0">
      <selection sqref="A1:C1"/>
    </sheetView>
  </sheetViews>
  <sheetFormatPr defaultRowHeight="15" x14ac:dyDescent="0.25"/>
  <cols>
    <col min="1" max="1" width="29.5703125" customWidth="1"/>
    <col min="2" max="3" width="13.85546875" customWidth="1"/>
    <col min="4" max="4" width="11.140625" customWidth="1"/>
    <col min="5" max="5" width="12.140625" customWidth="1"/>
    <col min="6" max="6" width="10.140625" customWidth="1"/>
    <col min="7" max="7" width="14.85546875" customWidth="1"/>
    <col min="8" max="8" width="13.85546875" customWidth="1"/>
  </cols>
  <sheetData>
    <row r="1" spans="1:19" ht="18.75" x14ac:dyDescent="0.3">
      <c r="A1" s="678" t="s">
        <v>244</v>
      </c>
      <c r="B1" s="678"/>
      <c r="C1" s="678"/>
    </row>
    <row r="3" spans="1:19" ht="15.75" x14ac:dyDescent="0.25">
      <c r="A3" s="405" t="s">
        <v>245</v>
      </c>
    </row>
    <row r="4" spans="1:19" x14ac:dyDescent="0.25">
      <c r="A4" s="406" t="s">
        <v>246</v>
      </c>
      <c r="K4" s="407"/>
      <c r="M4" s="407"/>
    </row>
    <row r="5" spans="1:19" x14ac:dyDescent="0.25">
      <c r="A5" s="408" t="s">
        <v>247</v>
      </c>
    </row>
    <row r="6" spans="1:19" x14ac:dyDescent="0.25">
      <c r="A6" s="409" t="s">
        <v>248</v>
      </c>
    </row>
    <row r="8" spans="1:19" x14ac:dyDescent="0.25">
      <c r="H8" s="410" t="s">
        <v>249</v>
      </c>
    </row>
    <row r="9" spans="1:19" x14ac:dyDescent="0.25">
      <c r="A9" s="410" t="s">
        <v>250</v>
      </c>
      <c r="B9" s="677" t="s">
        <v>251</v>
      </c>
      <c r="C9" s="677"/>
      <c r="D9" s="411"/>
    </row>
    <row r="10" spans="1:19" ht="18" customHeight="1" x14ac:dyDescent="0.25">
      <c r="A10" t="s">
        <v>252</v>
      </c>
      <c r="B10" s="412" t="s">
        <v>19</v>
      </c>
      <c r="C10" s="412" t="s">
        <v>20</v>
      </c>
      <c r="H10" s="413" t="s">
        <v>253</v>
      </c>
    </row>
    <row r="11" spans="1:19" ht="24.75" customHeight="1" x14ac:dyDescent="0.25">
      <c r="B11" s="412"/>
      <c r="C11" s="412"/>
      <c r="H11" s="414" t="str">
        <f>B19</f>
        <v>Ja</v>
      </c>
      <c r="I11">
        <v>8.6999999999999993</v>
      </c>
      <c r="L11">
        <v>8.6999999999999993</v>
      </c>
      <c r="M11" t="s">
        <v>288</v>
      </c>
    </row>
    <row r="12" spans="1:19" x14ac:dyDescent="0.25">
      <c r="A12" s="410" t="s">
        <v>254</v>
      </c>
      <c r="B12" s="677" t="s">
        <v>251</v>
      </c>
      <c r="C12" s="677"/>
      <c r="H12" s="414" t="str">
        <f>C19</f>
        <v>Nej</v>
      </c>
      <c r="I12">
        <v>5.2</v>
      </c>
      <c r="J12">
        <v>3.7</v>
      </c>
      <c r="L12">
        <v>5.2</v>
      </c>
      <c r="M12" t="s">
        <v>289</v>
      </c>
    </row>
    <row r="13" spans="1:19" ht="30" x14ac:dyDescent="0.25">
      <c r="A13" s="415" t="s">
        <v>255</v>
      </c>
      <c r="B13" s="412" t="s">
        <v>256</v>
      </c>
      <c r="C13" s="412" t="s">
        <v>257</v>
      </c>
      <c r="H13" s="414">
        <f>D19</f>
        <v>0</v>
      </c>
      <c r="I13" s="409">
        <v>2</v>
      </c>
      <c r="J13">
        <v>5.9</v>
      </c>
    </row>
    <row r="14" spans="1:19" x14ac:dyDescent="0.25">
      <c r="B14" s="416"/>
      <c r="C14" s="416"/>
    </row>
    <row r="15" spans="1:19" ht="45" x14ac:dyDescent="0.25">
      <c r="A15" s="435" t="s">
        <v>290</v>
      </c>
      <c r="B15" s="677" t="s">
        <v>251</v>
      </c>
      <c r="C15" s="677"/>
      <c r="S15">
        <f>T20*'Tiltag 4'!D21</f>
        <v>0</v>
      </c>
    </row>
    <row r="16" spans="1:19" x14ac:dyDescent="0.25">
      <c r="B16" s="418" t="s">
        <v>291</v>
      </c>
      <c r="C16" s="418" t="s">
        <v>292</v>
      </c>
      <c r="D16" s="418" t="s">
        <v>293</v>
      </c>
      <c r="S16">
        <f>T21*'Tiltag 4'!D21</f>
        <v>0</v>
      </c>
    </row>
    <row r="17" spans="1:20" x14ac:dyDescent="0.25">
      <c r="B17" s="412"/>
      <c r="C17" s="412"/>
      <c r="D17" s="418"/>
      <c r="L17" s="419"/>
    </row>
    <row r="18" spans="1:20" ht="30" x14ac:dyDescent="0.25">
      <c r="A18" s="435" t="s">
        <v>294</v>
      </c>
      <c r="B18" s="677" t="s">
        <v>251</v>
      </c>
      <c r="C18" s="677"/>
      <c r="D18" s="418"/>
    </row>
    <row r="19" spans="1:20" ht="15.75" thickBot="1" x14ac:dyDescent="0.3">
      <c r="B19" s="414" t="s">
        <v>19</v>
      </c>
      <c r="C19" s="412" t="s">
        <v>20</v>
      </c>
      <c r="D19" s="414"/>
      <c r="L19" s="440" t="s">
        <v>266</v>
      </c>
      <c r="M19" s="407"/>
      <c r="N19" s="677" t="s">
        <v>267</v>
      </c>
      <c r="O19" s="677"/>
      <c r="P19" s="677"/>
      <c r="Q19" s="677"/>
      <c r="S19" s="419" t="s">
        <v>295</v>
      </c>
    </row>
    <row r="20" spans="1:20" x14ac:dyDescent="0.25">
      <c r="B20" s="416"/>
      <c r="C20" s="416"/>
      <c r="L20" s="421"/>
      <c r="M20" s="422"/>
      <c r="N20" s="679" t="str">
        <f>B16</f>
        <v>Konventionel</v>
      </c>
      <c r="O20" s="679"/>
      <c r="P20" s="679" t="str">
        <f>B19</f>
        <v>Ja</v>
      </c>
      <c r="Q20" s="680"/>
      <c r="S20" s="41" t="str">
        <f>B16</f>
        <v>Konventionel</v>
      </c>
      <c r="T20" s="44">
        <v>1.54</v>
      </c>
    </row>
    <row r="21" spans="1:20" x14ac:dyDescent="0.25">
      <c r="B21" s="677" t="s">
        <v>251</v>
      </c>
      <c r="C21" s="677"/>
      <c r="L21" s="45" t="s">
        <v>269</v>
      </c>
      <c r="M21" s="423"/>
      <c r="N21" s="681">
        <v>2</v>
      </c>
      <c r="O21" s="681"/>
      <c r="P21" s="681"/>
      <c r="Q21" s="682"/>
      <c r="S21" s="45" t="s">
        <v>296</v>
      </c>
      <c r="T21" s="46">
        <v>0.45</v>
      </c>
    </row>
    <row r="22" spans="1:20" ht="30" x14ac:dyDescent="0.25">
      <c r="A22" s="415" t="s">
        <v>297</v>
      </c>
      <c r="B22" s="415" t="s">
        <v>298</v>
      </c>
      <c r="C22" s="436" t="s">
        <v>299</v>
      </c>
      <c r="D22" s="415" t="s">
        <v>300</v>
      </c>
      <c r="E22" s="415" t="s">
        <v>301</v>
      </c>
      <c r="F22" s="415" t="s">
        <v>302</v>
      </c>
      <c r="L22" s="45" t="s">
        <v>271</v>
      </c>
      <c r="M22" s="423"/>
      <c r="N22" s="681">
        <v>105</v>
      </c>
      <c r="O22" s="681"/>
      <c r="P22" s="681"/>
      <c r="Q22" s="682"/>
      <c r="S22" s="45" t="str">
        <f>C16</f>
        <v>Økologisk</v>
      </c>
      <c r="T22" s="46">
        <v>1.54</v>
      </c>
    </row>
    <row r="23" spans="1:20" ht="15.75" thickBot="1" x14ac:dyDescent="0.3">
      <c r="B23" s="416"/>
      <c r="C23" s="416"/>
      <c r="L23" s="47" t="s">
        <v>272</v>
      </c>
      <c r="M23" s="424"/>
      <c r="N23" s="683">
        <v>101</v>
      </c>
      <c r="O23" s="683"/>
      <c r="P23" s="683"/>
      <c r="Q23" s="684"/>
      <c r="S23" s="45" t="s">
        <v>296</v>
      </c>
      <c r="T23" s="46">
        <v>0.45</v>
      </c>
    </row>
    <row r="24" spans="1:20" x14ac:dyDescent="0.25">
      <c r="A24" s="425"/>
      <c r="B24" s="677" t="s">
        <v>251</v>
      </c>
      <c r="C24" s="677"/>
      <c r="L24" s="41"/>
      <c r="M24" s="43"/>
      <c r="N24" s="679" t="str">
        <f>C16</f>
        <v>Økologisk</v>
      </c>
      <c r="O24" s="679"/>
      <c r="P24" s="679" t="str">
        <f>C19</f>
        <v>Nej</v>
      </c>
      <c r="Q24" s="680"/>
      <c r="S24" s="45"/>
      <c r="T24" s="46"/>
    </row>
    <row r="25" spans="1:20" ht="34.5" thickBot="1" x14ac:dyDescent="0.3">
      <c r="A25" s="426" t="s">
        <v>303</v>
      </c>
      <c r="B25" s="412" t="s">
        <v>19</v>
      </c>
      <c r="C25" s="412" t="s">
        <v>20</v>
      </c>
      <c r="L25" s="45" t="s">
        <v>274</v>
      </c>
      <c r="M25" s="38"/>
      <c r="N25" s="681">
        <v>0.1</v>
      </c>
      <c r="O25" s="681"/>
      <c r="P25" s="681"/>
      <c r="Q25" s="682"/>
      <c r="S25" s="47"/>
      <c r="T25" s="49"/>
    </row>
    <row r="26" spans="1:20" ht="15.75" thickBot="1" x14ac:dyDescent="0.3">
      <c r="A26" s="425"/>
      <c r="B26" s="427"/>
      <c r="C26" s="427"/>
      <c r="L26" s="47" t="s">
        <v>275</v>
      </c>
      <c r="M26" s="48"/>
      <c r="N26" s="683">
        <v>0.32</v>
      </c>
      <c r="O26" s="683"/>
      <c r="P26" s="683"/>
      <c r="Q26" s="684"/>
    </row>
    <row r="27" spans="1:20" x14ac:dyDescent="0.25">
      <c r="B27" s="677" t="s">
        <v>251</v>
      </c>
      <c r="C27" s="677"/>
      <c r="L27" s="41"/>
      <c r="M27" s="422"/>
      <c r="N27" s="679" t="str">
        <f>D16</f>
        <v>Frilands</v>
      </c>
      <c r="O27" s="679"/>
      <c r="P27" s="679"/>
      <c r="Q27" s="680"/>
    </row>
    <row r="28" spans="1:20" ht="45" x14ac:dyDescent="0.25">
      <c r="A28" s="428" t="s">
        <v>304</v>
      </c>
      <c r="B28" s="414" t="s">
        <v>19</v>
      </c>
      <c r="C28" s="414" t="s">
        <v>305</v>
      </c>
      <c r="D28" s="429"/>
      <c r="L28" s="45" t="s">
        <v>278</v>
      </c>
      <c r="M28" s="38"/>
      <c r="N28" s="681">
        <v>11</v>
      </c>
      <c r="O28" s="681"/>
      <c r="P28" s="681"/>
      <c r="Q28" s="682"/>
    </row>
    <row r="29" spans="1:20" ht="15.75" thickBot="1" x14ac:dyDescent="0.3">
      <c r="L29" s="47" t="s">
        <v>279</v>
      </c>
      <c r="M29" s="48"/>
      <c r="N29" s="683">
        <v>2.2999999999999998</v>
      </c>
      <c r="O29" s="683"/>
      <c r="P29" s="683"/>
      <c r="Q29" s="684"/>
    </row>
    <row r="31" spans="1:20" ht="15.75" thickBot="1" x14ac:dyDescent="0.3">
      <c r="B31" t="s">
        <v>344</v>
      </c>
      <c r="C31" t="s">
        <v>345</v>
      </c>
      <c r="D31" t="s">
        <v>346</v>
      </c>
      <c r="L31" s="440" t="s">
        <v>266</v>
      </c>
      <c r="M31" s="407"/>
      <c r="N31" s="677" t="s">
        <v>280</v>
      </c>
      <c r="O31" s="677"/>
      <c r="P31" s="677"/>
      <c r="Q31" s="677"/>
      <c r="S31" s="419" t="s">
        <v>268</v>
      </c>
    </row>
    <row r="32" spans="1:20" x14ac:dyDescent="0.25">
      <c r="A32" t="s">
        <v>341</v>
      </c>
      <c r="B32">
        <f>'Tiltag 4'!D21</f>
        <v>0</v>
      </c>
      <c r="C32">
        <f>'Tiltag 4'!F21</f>
        <v>0</v>
      </c>
      <c r="D32" t="b">
        <f>IF(C$32="Ja",$T$21*B32)</f>
        <v>0</v>
      </c>
      <c r="L32" s="421"/>
      <c r="M32" s="422"/>
      <c r="N32" s="679" t="str">
        <f>B16</f>
        <v>Konventionel</v>
      </c>
      <c r="O32" s="679"/>
      <c r="P32" s="679" t="str">
        <f>B19</f>
        <v>Ja</v>
      </c>
      <c r="Q32" s="680"/>
      <c r="S32" s="41" t="str">
        <f>B16</f>
        <v>Konventionel</v>
      </c>
      <c r="T32" s="44">
        <f>N34</f>
        <v>44</v>
      </c>
    </row>
    <row r="33" spans="1:20" x14ac:dyDescent="0.25">
      <c r="A33" t="s">
        <v>342</v>
      </c>
      <c r="B33">
        <f>'Tiltag 4'!D22</f>
        <v>0</v>
      </c>
      <c r="C33">
        <f>'Tiltag 4'!F22</f>
        <v>0</v>
      </c>
      <c r="D33" t="b">
        <f>IF(C$32="Ja",$T$21*B33)</f>
        <v>0</v>
      </c>
      <c r="L33" s="45" t="s">
        <v>269</v>
      </c>
      <c r="M33" s="423"/>
      <c r="N33" s="681">
        <v>0</v>
      </c>
      <c r="O33" s="681"/>
      <c r="P33" s="681"/>
      <c r="Q33" s="682"/>
      <c r="S33" s="45" t="str">
        <f>B19</f>
        <v>Ja</v>
      </c>
      <c r="T33" s="46">
        <f>N34</f>
        <v>44</v>
      </c>
    </row>
    <row r="34" spans="1:20" ht="15.75" thickBot="1" x14ac:dyDescent="0.3">
      <c r="A34" t="s">
        <v>343</v>
      </c>
      <c r="B34">
        <f>'Tiltag 4'!D23</f>
        <v>0</v>
      </c>
      <c r="C34">
        <f>'Tiltag 4'!F23</f>
        <v>0</v>
      </c>
      <c r="D34" t="b">
        <f t="shared" ref="D34" si="0">IF(C$32="Ja",$T$21*B34)</f>
        <v>0</v>
      </c>
      <c r="L34" s="45" t="s">
        <v>271</v>
      </c>
      <c r="M34" s="423"/>
      <c r="N34" s="681">
        <v>44</v>
      </c>
      <c r="O34" s="681"/>
      <c r="P34" s="681"/>
      <c r="Q34" s="682"/>
      <c r="S34" s="45" t="str">
        <f>C16</f>
        <v>Økologisk</v>
      </c>
      <c r="T34" s="46">
        <f>N36</f>
        <v>2.2000000000000002</v>
      </c>
    </row>
    <row r="35" spans="1:20" x14ac:dyDescent="0.25">
      <c r="L35" s="41"/>
      <c r="M35" s="43"/>
      <c r="N35" s="679" t="str">
        <f>C16</f>
        <v>Økologisk</v>
      </c>
      <c r="O35" s="679"/>
      <c r="P35" s="679" t="str">
        <f>C19</f>
        <v>Nej</v>
      </c>
      <c r="Q35" s="680"/>
      <c r="S35" s="45" t="str">
        <f>C19</f>
        <v>Nej</v>
      </c>
      <c r="T35" s="46">
        <f>N36</f>
        <v>2.2000000000000002</v>
      </c>
    </row>
    <row r="36" spans="1:20" ht="15.75" thickBot="1" x14ac:dyDescent="0.3">
      <c r="L36" s="45" t="s">
        <v>274</v>
      </c>
      <c r="M36" s="38"/>
      <c r="N36" s="681">
        <v>2.2000000000000002</v>
      </c>
      <c r="O36" s="681"/>
      <c r="P36" s="681"/>
      <c r="Q36" s="682"/>
      <c r="S36" s="45" t="str">
        <f>D16</f>
        <v>Frilands</v>
      </c>
      <c r="T36" s="46">
        <f>N38</f>
        <v>1</v>
      </c>
    </row>
    <row r="37" spans="1:20" ht="15.75" thickBot="1" x14ac:dyDescent="0.3">
      <c r="L37" s="41"/>
      <c r="M37" s="422"/>
      <c r="N37" s="679" t="str">
        <f>D16</f>
        <v>Frilands</v>
      </c>
      <c r="O37" s="679"/>
      <c r="P37" s="679"/>
      <c r="Q37" s="680"/>
      <c r="S37" s="47">
        <f>D19</f>
        <v>0</v>
      </c>
      <c r="T37" s="49">
        <f>N38</f>
        <v>1</v>
      </c>
    </row>
    <row r="38" spans="1:20" ht="15.75" thickBot="1" x14ac:dyDescent="0.3">
      <c r="L38" s="47" t="s">
        <v>278</v>
      </c>
      <c r="M38" s="48"/>
      <c r="N38" s="683">
        <v>1</v>
      </c>
      <c r="O38" s="683"/>
      <c r="P38" s="683"/>
      <c r="Q38" s="684"/>
    </row>
  </sheetData>
  <mergeCells count="31">
    <mergeCell ref="N38:Q38"/>
    <mergeCell ref="N28:Q28"/>
    <mergeCell ref="N29:Q29"/>
    <mergeCell ref="N31:Q31"/>
    <mergeCell ref="N32:O32"/>
    <mergeCell ref="P32:Q32"/>
    <mergeCell ref="N33:Q33"/>
    <mergeCell ref="N34:Q34"/>
    <mergeCell ref="N35:O35"/>
    <mergeCell ref="P35:Q35"/>
    <mergeCell ref="N36:Q36"/>
    <mergeCell ref="N37:Q37"/>
    <mergeCell ref="B27:C27"/>
    <mergeCell ref="N27:Q27"/>
    <mergeCell ref="N20:O20"/>
    <mergeCell ref="P20:Q20"/>
    <mergeCell ref="B21:C21"/>
    <mergeCell ref="N21:Q21"/>
    <mergeCell ref="N22:Q22"/>
    <mergeCell ref="N23:Q23"/>
    <mergeCell ref="B24:C24"/>
    <mergeCell ref="N24:O24"/>
    <mergeCell ref="P24:Q24"/>
    <mergeCell ref="N25:Q25"/>
    <mergeCell ref="N26:Q26"/>
    <mergeCell ref="N19:Q19"/>
    <mergeCell ref="A1:C1"/>
    <mergeCell ref="B9:C9"/>
    <mergeCell ref="B12:C12"/>
    <mergeCell ref="B15:C15"/>
    <mergeCell ref="B18:C1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I114"/>
  <sheetViews>
    <sheetView workbookViewId="0"/>
  </sheetViews>
  <sheetFormatPr defaultColWidth="9.28515625" defaultRowHeight="15" customHeight="1" x14ac:dyDescent="0.25"/>
  <cols>
    <col min="1" max="1" width="17.7109375" style="7" bestFit="1" customWidth="1"/>
    <col min="2" max="2" width="30" style="7" bestFit="1" customWidth="1"/>
    <col min="3" max="3" width="22.5703125" style="7" customWidth="1"/>
    <col min="4" max="4" width="16.42578125" style="7" bestFit="1" customWidth="1"/>
    <col min="5" max="5" width="14.7109375" style="7" bestFit="1" customWidth="1"/>
    <col min="6" max="6" width="11" style="7" bestFit="1" customWidth="1"/>
    <col min="7" max="8" width="9.28515625" style="7" customWidth="1"/>
    <col min="9" max="9" width="16.7109375" style="7" customWidth="1"/>
    <col min="10" max="10" width="11.28515625" style="7" customWidth="1"/>
    <col min="11" max="12" width="9.28515625" style="7" customWidth="1"/>
    <col min="13" max="13" width="63.5703125" style="7" customWidth="1"/>
    <col min="14" max="14" width="14.28515625" style="7" bestFit="1" customWidth="1"/>
    <col min="15" max="15" width="14" style="7" bestFit="1" customWidth="1"/>
    <col min="16" max="16" width="9.42578125" style="7" bestFit="1" customWidth="1"/>
    <col min="17" max="17" width="26.5703125" style="7" customWidth="1"/>
    <col min="18" max="21" width="9.42578125" style="7" customWidth="1"/>
    <col min="22" max="27" width="9.28515625" style="7"/>
    <col min="28" max="28" width="10.7109375" style="7" bestFit="1" customWidth="1"/>
    <col min="29" max="29" width="14" style="7" bestFit="1" customWidth="1"/>
    <col min="30" max="16384" width="9.28515625" style="7"/>
  </cols>
  <sheetData>
    <row r="1" spans="1:35" ht="69.75" customHeight="1" x14ac:dyDescent="0.25">
      <c r="C1" s="127" t="s">
        <v>129</v>
      </c>
      <c r="F1" s="8"/>
      <c r="G1" s="8"/>
      <c r="H1" s="27" t="s">
        <v>19</v>
      </c>
      <c r="I1" s="8"/>
      <c r="J1" s="8"/>
      <c r="K1" s="8"/>
      <c r="L1" s="8"/>
      <c r="M1" s="9"/>
      <c r="N1" s="690" t="s">
        <v>37</v>
      </c>
      <c r="O1" s="690"/>
      <c r="R1" s="690" t="s">
        <v>38</v>
      </c>
      <c r="S1" s="690"/>
    </row>
    <row r="2" spans="1:35" ht="42" customHeight="1" x14ac:dyDescent="0.25">
      <c r="C2" s="10"/>
      <c r="D2" s="10"/>
      <c r="G2" s="8"/>
      <c r="H2" s="28" t="s">
        <v>20</v>
      </c>
      <c r="M2" s="11" t="e">
        <f>IF(N4=D3,1,IF(N5=D3,2,IF(N6=D3,3,IF(N7=D3,4,IF(N8=D3,5,IF(N9=D3,6,IF(N10=D3,7,"")))))))</f>
        <v>#N/A</v>
      </c>
      <c r="N2" s="10" t="e">
        <f>VLOOKUP(M2,M4:O10,2)</f>
        <v>#N/A</v>
      </c>
      <c r="O2" s="10" t="e">
        <f>VLOOKUP(M2,M4:O10,3)</f>
        <v>#N/A</v>
      </c>
      <c r="Q2" s="11" t="e">
        <f>IF(R4=D47,1,IF(R5=D47,2,IF(R6=D47,3,IF(R7=D47,4,IF(R8=D47,5,IF(R9=D47,6,IF(R10=D47,7,"")))))))</f>
        <v>#N/A</v>
      </c>
      <c r="R2" s="7" t="e">
        <f>VLOOKUP(Q2,Q4:S10,2)</f>
        <v>#N/A</v>
      </c>
      <c r="S2" s="7" t="e">
        <f>VLOOKUP(Q2,Q4:S10,3)</f>
        <v>#N/A</v>
      </c>
      <c r="AB2" s="10" t="s">
        <v>1</v>
      </c>
      <c r="AC2" s="10">
        <v>0.01</v>
      </c>
    </row>
    <row r="3" spans="1:35" ht="15" customHeight="1" x14ac:dyDescent="0.25">
      <c r="A3" s="7" t="s">
        <v>209</v>
      </c>
      <c r="C3" s="7" t="s">
        <v>0</v>
      </c>
      <c r="D3" s="7" t="e">
        <f>VLOOKUP(E3,F95:G108,2,FALSE)</f>
        <v>#N/A</v>
      </c>
      <c r="E3" s="7">
        <f>'Tiltag 4'!J27</f>
        <v>0</v>
      </c>
      <c r="F3" s="131" t="e">
        <f>O2</f>
        <v>#N/A</v>
      </c>
      <c r="G3" s="8"/>
    </row>
    <row r="4" spans="1:35" ht="15" customHeight="1" x14ac:dyDescent="0.25">
      <c r="A4" s="128" t="e">
        <f>IF(#REF!&lt;&gt;1,"Fejl",VLOOKUP(1,#REF!,4,FALSE))</f>
        <v>#REF!</v>
      </c>
      <c r="C4" s="7" t="s">
        <v>1</v>
      </c>
      <c r="D4" s="129">
        <f>'Tiltag 4'!C32</f>
        <v>0</v>
      </c>
      <c r="F4" s="132" t="e">
        <f xml:space="preserve"> 0.0043*LN(D4) + 0.93</f>
        <v>#NUM!</v>
      </c>
      <c r="G4" s="8"/>
      <c r="M4" s="7">
        <v>1</v>
      </c>
      <c r="N4" s="7" t="s">
        <v>6</v>
      </c>
      <c r="O4" s="14">
        <f ca="1">O12</f>
        <v>0.51843511609559978</v>
      </c>
      <c r="Q4" s="7">
        <v>1</v>
      </c>
      <c r="R4" s="7" t="s">
        <v>6</v>
      </c>
      <c r="S4" s="14">
        <f ca="1">S12</f>
        <v>0.99039999999999995</v>
      </c>
      <c r="AB4" s="7">
        <v>1000</v>
      </c>
      <c r="AC4" s="14">
        <v>0.96</v>
      </c>
    </row>
    <row r="5" spans="1:35" ht="15" customHeight="1" x14ac:dyDescent="0.25">
      <c r="A5" s="128"/>
      <c r="C5" s="7" t="s">
        <v>2</v>
      </c>
      <c r="D5" s="129">
        <f ca="1">C17-'Tiltag 4'!E32</f>
        <v>2023</v>
      </c>
      <c r="F5" s="8"/>
      <c r="G5" s="8"/>
      <c r="K5" s="15" t="str">
        <f>IF(N4=E3,1,IF(N5=E3,2,IF(N6=E3,3,IF(N7=E3,4,IF(N8=E3,5,"")))))</f>
        <v/>
      </c>
      <c r="M5" s="7">
        <v>2</v>
      </c>
      <c r="N5" s="7" t="s">
        <v>12</v>
      </c>
      <c r="O5" s="14">
        <f ca="1">O21</f>
        <v>0.47517343190976091</v>
      </c>
      <c r="Q5" s="7">
        <v>2</v>
      </c>
      <c r="R5" s="7" t="s">
        <v>12</v>
      </c>
      <c r="S5" s="14">
        <f ca="1">S21</f>
        <v>0.98519999999999996</v>
      </c>
      <c r="AB5" s="7">
        <v>100</v>
      </c>
      <c r="AC5" s="14">
        <f>AC4-AC2</f>
        <v>0.95</v>
      </c>
    </row>
    <row r="6" spans="1:35" ht="15" customHeight="1" x14ac:dyDescent="0.25">
      <c r="A6" s="128"/>
      <c r="C6" s="7" t="s">
        <v>3</v>
      </c>
      <c r="D6" s="129" t="e">
        <f>'Virkningsgradsberegner 4'!C92/100</f>
        <v>#N/A</v>
      </c>
      <c r="G6" s="8"/>
      <c r="H6" s="8"/>
      <c r="I6" s="8"/>
      <c r="J6" s="8"/>
      <c r="K6" s="8"/>
      <c r="L6" s="8"/>
      <c r="M6" s="7">
        <v>3</v>
      </c>
      <c r="N6" s="7" t="s">
        <v>13</v>
      </c>
      <c r="O6" s="14">
        <f ca="1">O30</f>
        <v>0.46308576874692875</v>
      </c>
      <c r="Q6" s="7">
        <v>3</v>
      </c>
      <c r="R6" s="7" t="s">
        <v>13</v>
      </c>
      <c r="S6" s="14">
        <f ca="1">S30</f>
        <v>0.96550000000000002</v>
      </c>
      <c r="AB6" s="7">
        <v>10</v>
      </c>
      <c r="AC6" s="14">
        <f>AC5-AC2</f>
        <v>0.94</v>
      </c>
    </row>
    <row r="7" spans="1:35" ht="15" customHeight="1" x14ac:dyDescent="0.25">
      <c r="A7" s="128"/>
      <c r="D7" s="129"/>
      <c r="G7" s="8"/>
      <c r="H7" s="8"/>
      <c r="I7" s="8"/>
      <c r="J7" s="8"/>
      <c r="K7" s="8"/>
      <c r="L7" s="8"/>
      <c r="M7" s="7">
        <v>4</v>
      </c>
      <c r="N7" s="7" t="s">
        <v>5</v>
      </c>
      <c r="O7" s="14">
        <f ca="1">O39</f>
        <v>0.3634870740495868</v>
      </c>
      <c r="Q7" s="7">
        <v>4</v>
      </c>
      <c r="R7" s="7" t="s">
        <v>5</v>
      </c>
      <c r="S7" s="14">
        <f ca="1">S39</f>
        <v>0.92679999999999996</v>
      </c>
    </row>
    <row r="8" spans="1:35" ht="15" customHeight="1" x14ac:dyDescent="0.25">
      <c r="A8" s="128"/>
      <c r="C8" s="16" t="s">
        <v>11</v>
      </c>
      <c r="D8" s="130" t="e">
        <f>F3</f>
        <v>#N/A</v>
      </c>
      <c r="H8" s="8"/>
      <c r="I8" s="8"/>
      <c r="J8" s="8"/>
      <c r="K8" s="8"/>
      <c r="L8" s="8"/>
      <c r="M8" s="7">
        <v>5</v>
      </c>
      <c r="N8" s="7" t="s">
        <v>14</v>
      </c>
      <c r="O8" s="14">
        <f ca="1">O48</f>
        <v>0.49803511609559975</v>
      </c>
      <c r="Q8" s="7">
        <v>5</v>
      </c>
      <c r="R8" s="7" t="s">
        <v>14</v>
      </c>
      <c r="S8" s="14">
        <f ca="1">S48</f>
        <v>0.97</v>
      </c>
    </row>
    <row r="9" spans="1:35" ht="15" customHeight="1" x14ac:dyDescent="0.25">
      <c r="C9" s="7" t="s">
        <v>4</v>
      </c>
      <c r="D9" s="129" t="e">
        <f>D6*D8</f>
        <v>#N/A</v>
      </c>
      <c r="G9" s="8"/>
      <c r="H9" s="8"/>
      <c r="I9" s="8"/>
      <c r="J9" s="8"/>
      <c r="K9" s="8"/>
      <c r="L9" s="8"/>
      <c r="M9" s="7">
        <v>6</v>
      </c>
      <c r="N9" s="7" t="s">
        <v>29</v>
      </c>
      <c r="O9" s="14">
        <f ca="1">O57</f>
        <v>0.50519809558409645</v>
      </c>
      <c r="Q9" s="7">
        <v>6</v>
      </c>
      <c r="R9" s="7" t="s">
        <v>29</v>
      </c>
      <c r="S9" s="14">
        <f ca="1">S57</f>
        <v>0.99999998999999995</v>
      </c>
    </row>
    <row r="10" spans="1:35" ht="15" customHeight="1" x14ac:dyDescent="0.15">
      <c r="A10" s="17"/>
      <c r="C10" s="7" t="s">
        <v>10</v>
      </c>
      <c r="D10" s="129" t="e">
        <f>D6-D9</f>
        <v>#N/A</v>
      </c>
      <c r="G10" s="8"/>
      <c r="H10" s="8"/>
      <c r="I10" s="8"/>
      <c r="J10" s="8"/>
      <c r="K10" s="8"/>
      <c r="L10" s="8"/>
      <c r="M10" s="7">
        <v>7</v>
      </c>
      <c r="N10" s="7" t="s">
        <v>98</v>
      </c>
      <c r="O10" s="14">
        <f ca="1">O21</f>
        <v>0.47517343190976091</v>
      </c>
      <c r="Q10" s="7">
        <v>7</v>
      </c>
      <c r="R10" s="7" t="s">
        <v>34</v>
      </c>
      <c r="S10" s="14">
        <f ca="1">S21</f>
        <v>0.98519999999999996</v>
      </c>
    </row>
    <row r="11" spans="1:35" ht="15" customHeight="1" x14ac:dyDescent="0.15">
      <c r="A11" s="7" t="s">
        <v>209</v>
      </c>
      <c r="D11" s="129"/>
      <c r="M11" s="17"/>
    </row>
    <row r="12" spans="1:35" ht="15" customHeight="1" x14ac:dyDescent="0.25">
      <c r="A12" s="128" t="e">
        <f>IF(#REF!&lt;&gt;1,"Fejl",VLOOKUP(1,#REF!,4,FALSE))</f>
        <v>#REF!</v>
      </c>
      <c r="C12" s="16" t="s">
        <v>8</v>
      </c>
      <c r="D12" s="130" t="e">
        <f>F4</f>
        <v>#NUM!</v>
      </c>
      <c r="H12" s="7" t="s">
        <v>6</v>
      </c>
      <c r="I12" s="7" t="s">
        <v>12</v>
      </c>
      <c r="J12" s="7" t="s">
        <v>13</v>
      </c>
      <c r="K12" s="7" t="s">
        <v>5</v>
      </c>
      <c r="N12" s="10" t="s">
        <v>6</v>
      </c>
      <c r="O12" s="10">
        <f ca="1">-0.062*LN(D5) + 0.9904</f>
        <v>0.51843511609559978</v>
      </c>
      <c r="R12" s="10" t="s">
        <v>6</v>
      </c>
      <c r="S12" s="10">
        <f ca="1">-0.062*LN(C17-D49+1) + 0.9904</f>
        <v>0.99039999999999995</v>
      </c>
    </row>
    <row r="13" spans="1:35" ht="15" customHeight="1" x14ac:dyDescent="0.25">
      <c r="C13" s="7" t="s">
        <v>9</v>
      </c>
      <c r="D13" s="129" t="e">
        <f>D6*D12</f>
        <v>#N/A</v>
      </c>
      <c r="G13" s="7">
        <v>1</v>
      </c>
      <c r="H13" s="7" t="e">
        <f>O14*$D$6/100</f>
        <v>#N/A</v>
      </c>
      <c r="I13" s="7" t="e">
        <f>O23*$D$6/100</f>
        <v>#N/A</v>
      </c>
      <c r="J13" s="7" t="e">
        <f>O32*$D$6/100</f>
        <v>#N/A</v>
      </c>
      <c r="K13" s="7" t="e">
        <f>O41*$D$6/100</f>
        <v>#N/A</v>
      </c>
    </row>
    <row r="14" spans="1:35" ht="15" customHeight="1" x14ac:dyDescent="0.25">
      <c r="C14" s="7" t="s">
        <v>7</v>
      </c>
      <c r="D14" s="129" t="e">
        <f>IF(F14=0,"",IF(F14&lt;50,50,F14))</f>
        <v>#N/A</v>
      </c>
      <c r="E14" s="7" t="s">
        <v>88</v>
      </c>
      <c r="F14" s="7" t="e">
        <f>D9*D12*100</f>
        <v>#N/A</v>
      </c>
      <c r="G14" s="7">
        <v>10</v>
      </c>
      <c r="H14" s="7" t="e">
        <f>O15*$D$6/100</f>
        <v>#N/A</v>
      </c>
      <c r="I14" s="7" t="e">
        <f>O24*$D$6/100</f>
        <v>#N/A</v>
      </c>
      <c r="J14" s="7" t="e">
        <f>O33*$D$6/100</f>
        <v>#N/A</v>
      </c>
      <c r="K14" s="7" t="e">
        <f>O42*$D$6/100</f>
        <v>#N/A</v>
      </c>
      <c r="N14" s="7">
        <v>1</v>
      </c>
      <c r="O14" s="14">
        <v>0.99</v>
      </c>
      <c r="R14" s="7">
        <v>1</v>
      </c>
      <c r="S14" s="14">
        <v>0.99</v>
      </c>
    </row>
    <row r="15" spans="1:35" ht="15" customHeight="1" x14ac:dyDescent="0.25">
      <c r="C15" s="7" t="s">
        <v>10</v>
      </c>
      <c r="D15" s="129" t="e">
        <f>D13-D14/100</f>
        <v>#N/A</v>
      </c>
      <c r="G15" s="7">
        <v>30</v>
      </c>
      <c r="H15" s="7" t="e">
        <f>O16*$D$6/100</f>
        <v>#N/A</v>
      </c>
      <c r="I15" s="7" t="e">
        <f>O25*$D$6/100</f>
        <v>#N/A</v>
      </c>
      <c r="J15" s="7" t="e">
        <f>O34*$D$6/100</f>
        <v>#N/A</v>
      </c>
      <c r="K15" s="7" t="e">
        <f>O43*$D$6/100</f>
        <v>#N/A</v>
      </c>
      <c r="N15" s="7">
        <v>10</v>
      </c>
      <c r="O15" s="14">
        <v>0.85</v>
      </c>
      <c r="R15" s="7">
        <v>10</v>
      </c>
      <c r="S15" s="14">
        <v>0.85</v>
      </c>
    </row>
    <row r="16" spans="1:35" s="17" customFormat="1" ht="15" customHeight="1" x14ac:dyDescent="0.15">
      <c r="A16" s="7"/>
      <c r="B16" s="7"/>
      <c r="C16" s="7"/>
      <c r="D16" s="7"/>
      <c r="E16" s="7"/>
      <c r="F16" s="7"/>
      <c r="G16" s="7"/>
      <c r="H16" s="7"/>
      <c r="I16" s="7"/>
      <c r="J16" s="7"/>
      <c r="K16" s="7"/>
      <c r="L16" s="7"/>
      <c r="M16" s="7"/>
      <c r="N16" s="7">
        <v>30</v>
      </c>
      <c r="O16" s="14">
        <v>0.78</v>
      </c>
      <c r="P16" s="7"/>
      <c r="Q16" s="7"/>
      <c r="R16" s="7">
        <v>30</v>
      </c>
      <c r="S16" s="14">
        <v>0.78</v>
      </c>
      <c r="T16" s="7"/>
      <c r="U16" s="7"/>
      <c r="V16" s="7"/>
      <c r="W16" s="7"/>
      <c r="X16" s="7"/>
      <c r="Y16" s="7"/>
      <c r="Z16" s="7"/>
      <c r="AA16" s="7"/>
      <c r="AB16" s="7"/>
      <c r="AC16" s="7"/>
      <c r="AD16" s="7"/>
      <c r="AE16" s="7"/>
      <c r="AF16" s="7"/>
      <c r="AG16" s="7"/>
      <c r="AH16" s="7"/>
      <c r="AI16" s="7"/>
    </row>
    <row r="17" spans="1:35" s="17" customFormat="1" ht="15" customHeight="1" x14ac:dyDescent="0.15">
      <c r="A17" s="7"/>
      <c r="B17" s="7"/>
      <c r="C17" s="26">
        <f ca="1">YEAR(TODAY())</f>
        <v>2023</v>
      </c>
      <c r="D17" s="7">
        <f ca="1">C17-3</f>
        <v>2020</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35" s="17" customFormat="1" ht="15" customHeight="1" x14ac:dyDescent="0.15">
      <c r="A18" s="7"/>
      <c r="B18" s="7"/>
      <c r="C18" s="7"/>
      <c r="D18" s="7"/>
      <c r="E18" s="7"/>
      <c r="F18" s="7"/>
      <c r="G18" s="7"/>
      <c r="H18" s="7"/>
      <c r="I18" s="7"/>
      <c r="J18" s="7"/>
      <c r="K18" s="7"/>
      <c r="L18" s="7"/>
      <c r="N18" s="7"/>
      <c r="O18" s="7"/>
      <c r="P18" s="7"/>
      <c r="Q18" s="7"/>
      <c r="R18" s="7"/>
      <c r="S18" s="7"/>
      <c r="T18" s="7"/>
      <c r="U18" s="7"/>
      <c r="V18" s="7"/>
      <c r="W18" s="7"/>
      <c r="X18" s="7"/>
      <c r="Y18" s="7"/>
      <c r="Z18" s="7"/>
      <c r="AA18" s="7"/>
      <c r="AB18" s="7"/>
      <c r="AC18" s="7"/>
      <c r="AD18" s="7"/>
      <c r="AE18" s="7"/>
      <c r="AF18" s="7"/>
      <c r="AG18" s="7"/>
      <c r="AH18" s="7"/>
      <c r="AI18" s="7"/>
    </row>
    <row r="19" spans="1:35" ht="15" customHeight="1" x14ac:dyDescent="0.15">
      <c r="M19" s="17"/>
    </row>
    <row r="20" spans="1:35" ht="15" customHeight="1" x14ac:dyDescent="0.15">
      <c r="M20" s="17"/>
    </row>
    <row r="21" spans="1:35" ht="15" customHeight="1" x14ac:dyDescent="0.25">
      <c r="N21" s="10" t="s">
        <v>12</v>
      </c>
      <c r="O21" s="10">
        <f ca="1" xml:space="preserve"> -0.067*LN(D5) + 0.9852</f>
        <v>0.47517343190976091</v>
      </c>
      <c r="R21" s="10" t="s">
        <v>12</v>
      </c>
      <c r="S21" s="10">
        <f ca="1" xml:space="preserve"> -0.067*LN(C17-D49+1) + 0.9852</f>
        <v>0.98519999999999996</v>
      </c>
    </row>
    <row r="23" spans="1:35" ht="15" customHeight="1" x14ac:dyDescent="0.25">
      <c r="N23" s="7">
        <v>1</v>
      </c>
      <c r="O23" s="14">
        <v>0.98504999999999998</v>
      </c>
      <c r="R23" s="7">
        <v>1</v>
      </c>
      <c r="S23" s="14">
        <v>0.98504999999999998</v>
      </c>
    </row>
    <row r="24" spans="1:35" ht="15" customHeight="1" x14ac:dyDescent="0.25">
      <c r="N24" s="7">
        <v>10</v>
      </c>
      <c r="O24" s="14">
        <v>0.83129999999999993</v>
      </c>
      <c r="R24" s="7">
        <v>10</v>
      </c>
      <c r="S24" s="14">
        <v>0.83129999999999993</v>
      </c>
    </row>
    <row r="25" spans="1:35" ht="15" customHeight="1" x14ac:dyDescent="0.25">
      <c r="N25" s="7">
        <v>30</v>
      </c>
      <c r="O25" s="14">
        <v>0.75660000000000005</v>
      </c>
      <c r="R25" s="7">
        <v>30</v>
      </c>
      <c r="S25" s="14">
        <v>0.75660000000000005</v>
      </c>
    </row>
    <row r="30" spans="1:35" ht="15" customHeight="1" x14ac:dyDescent="0.25">
      <c r="N30" s="18" t="s">
        <v>13</v>
      </c>
      <c r="O30" s="10">
        <f ca="1">-0.066*LN(D5) + 0.9655</f>
        <v>0.46308576874692875</v>
      </c>
      <c r="P30" s="7">
        <v>0.98</v>
      </c>
      <c r="R30" s="18" t="s">
        <v>13</v>
      </c>
      <c r="S30" s="10">
        <f ca="1">-0.066*LN(C17-D49+1) + 0.9655</f>
        <v>0.96550000000000002</v>
      </c>
    </row>
    <row r="32" spans="1:35" ht="15" customHeight="1" x14ac:dyDescent="0.25">
      <c r="N32" s="7">
        <v>1</v>
      </c>
      <c r="O32" s="14">
        <f>O23*$P$30</f>
        <v>0.96534900000000001</v>
      </c>
      <c r="R32" s="7">
        <v>1</v>
      </c>
      <c r="S32" s="14">
        <f>S23*$P$30</f>
        <v>0.96534900000000001</v>
      </c>
    </row>
    <row r="33" spans="3:19" ht="15" customHeight="1" x14ac:dyDescent="0.25">
      <c r="N33" s="7">
        <v>10</v>
      </c>
      <c r="O33" s="14">
        <f>O24*$P$30</f>
        <v>0.8146739999999999</v>
      </c>
      <c r="R33" s="7">
        <v>10</v>
      </c>
      <c r="S33" s="14">
        <f>S24*$P$30</f>
        <v>0.8146739999999999</v>
      </c>
    </row>
    <row r="34" spans="3:19" ht="15" customHeight="1" x14ac:dyDescent="0.25">
      <c r="N34" s="7">
        <v>30</v>
      </c>
      <c r="O34" s="14">
        <f>O25*$P$30</f>
        <v>0.74146800000000002</v>
      </c>
      <c r="R34" s="7">
        <v>30</v>
      </c>
      <c r="S34" s="14">
        <f>S25*$P$30</f>
        <v>0.74146800000000002</v>
      </c>
    </row>
    <row r="35" spans="3:19" ht="15" customHeight="1" x14ac:dyDescent="0.25">
      <c r="M35" s="128"/>
    </row>
    <row r="39" spans="3:19" ht="15" customHeight="1" x14ac:dyDescent="0.25">
      <c r="N39" s="10" t="s">
        <v>5</v>
      </c>
      <c r="O39" s="10">
        <f ca="1">-0.074*LN(D5) + 0.9268</f>
        <v>0.3634870740495868</v>
      </c>
      <c r="P39" s="7">
        <v>0.95</v>
      </c>
      <c r="R39" s="10" t="s">
        <v>5</v>
      </c>
      <c r="S39" s="10">
        <f ca="1">-0.074*LN(C17-D49+1) + 0.9268</f>
        <v>0.92679999999999996</v>
      </c>
    </row>
    <row r="41" spans="3:19" ht="15" customHeight="1" x14ac:dyDescent="0.25">
      <c r="N41" s="7">
        <v>1</v>
      </c>
      <c r="O41" s="14">
        <v>0.92643952499999993</v>
      </c>
      <c r="R41" s="7">
        <v>1</v>
      </c>
      <c r="S41" s="14">
        <v>0.92643952499999993</v>
      </c>
    </row>
    <row r="42" spans="3:19" ht="15" customHeight="1" x14ac:dyDescent="0.25">
      <c r="N42" s="7">
        <v>10</v>
      </c>
      <c r="O42" s="14">
        <v>0.75649999999999995</v>
      </c>
      <c r="R42" s="7">
        <v>10</v>
      </c>
      <c r="S42" s="14">
        <v>0.75649999999999995</v>
      </c>
    </row>
    <row r="43" spans="3:19" ht="15" customHeight="1" x14ac:dyDescent="0.25">
      <c r="N43" s="7">
        <v>30</v>
      </c>
      <c r="O43" s="14">
        <v>0.67313999999999996</v>
      </c>
      <c r="R43" s="7">
        <v>30</v>
      </c>
      <c r="S43" s="14">
        <v>0.67313999999999996</v>
      </c>
    </row>
    <row r="44" spans="3:19" ht="15" customHeight="1" x14ac:dyDescent="0.25">
      <c r="C44" s="127" t="s">
        <v>130</v>
      </c>
    </row>
    <row r="46" spans="3:19" ht="25.5" customHeight="1" x14ac:dyDescent="0.25">
      <c r="C46" s="10"/>
      <c r="D46" s="10"/>
    </row>
    <row r="47" spans="3:19" ht="15" customHeight="1" x14ac:dyDescent="0.25">
      <c r="C47" s="7" t="s">
        <v>0</v>
      </c>
      <c r="D47" s="7" t="e">
        <f>VLOOKUP(E47,E95:G107,3,FALSE)</f>
        <v>#N/A</v>
      </c>
      <c r="E47" s="7">
        <f>'Tiltag 4'!J35</f>
        <v>0</v>
      </c>
      <c r="F47" s="12" t="e">
        <f>S2</f>
        <v>#N/A</v>
      </c>
    </row>
    <row r="48" spans="3:19" ht="15" customHeight="1" x14ac:dyDescent="0.25">
      <c r="C48" s="7" t="s">
        <v>1</v>
      </c>
      <c r="D48" s="7">
        <f>'Tiltag 4'!C40</f>
        <v>0</v>
      </c>
      <c r="F48" s="13" t="e">
        <f xml:space="preserve"> 0.0043*LN(D48) + 0.93</f>
        <v>#NUM!</v>
      </c>
      <c r="N48" s="10" t="s">
        <v>14</v>
      </c>
      <c r="O48" s="10">
        <f ca="1">-0.062*LN(D5) + 0.97</f>
        <v>0.49803511609559975</v>
      </c>
      <c r="P48" s="7">
        <v>0.95</v>
      </c>
      <c r="R48" s="10" t="s">
        <v>14</v>
      </c>
      <c r="S48" s="10">
        <f ca="1">-0.062*LN(C17-D49+1) + 0.97</f>
        <v>0.97</v>
      </c>
    </row>
    <row r="49" spans="1:19" ht="15" customHeight="1" x14ac:dyDescent="0.25">
      <c r="C49" s="7" t="s">
        <v>2</v>
      </c>
      <c r="D49" s="7">
        <f ca="1">C17</f>
        <v>2023</v>
      </c>
    </row>
    <row r="50" spans="1:19" ht="15" customHeight="1" x14ac:dyDescent="0.25">
      <c r="C50" s="7" t="s">
        <v>3</v>
      </c>
      <c r="D50" s="441">
        <f>'Tiltag 4'!E40</f>
        <v>0</v>
      </c>
      <c r="N50" s="7">
        <v>1</v>
      </c>
      <c r="O50" s="14">
        <v>0.92643952499999993</v>
      </c>
      <c r="R50" s="7">
        <v>1</v>
      </c>
      <c r="S50" s="14">
        <v>0.92643952499999993</v>
      </c>
    </row>
    <row r="51" spans="1:19" ht="15" customHeight="1" x14ac:dyDescent="0.25">
      <c r="N51" s="7">
        <v>10</v>
      </c>
      <c r="O51" s="14">
        <v>0.75649999999999995</v>
      </c>
      <c r="R51" s="7">
        <v>10</v>
      </c>
      <c r="S51" s="14">
        <v>0.75649999999999995</v>
      </c>
    </row>
    <row r="52" spans="1:19" ht="15" customHeight="1" x14ac:dyDescent="0.25">
      <c r="N52" s="7">
        <v>30</v>
      </c>
      <c r="O52" s="14">
        <v>0.67313999999999996</v>
      </c>
      <c r="R52" s="7">
        <v>30</v>
      </c>
      <c r="S52" s="14">
        <v>0.67313999999999996</v>
      </c>
    </row>
    <row r="53" spans="1:19" ht="15" customHeight="1" x14ac:dyDescent="0.25">
      <c r="C53" s="16" t="s">
        <v>11</v>
      </c>
      <c r="D53" s="7" t="e">
        <f>F47</f>
        <v>#N/A</v>
      </c>
    </row>
    <row r="54" spans="1:19" ht="15" customHeight="1" x14ac:dyDescent="0.25">
      <c r="C54" s="7" t="s">
        <v>4</v>
      </c>
      <c r="D54" s="7" t="e">
        <f>D50*D53</f>
        <v>#N/A</v>
      </c>
    </row>
    <row r="55" spans="1:19" ht="15" customHeight="1" x14ac:dyDescent="0.25">
      <c r="C55" s="7" t="s">
        <v>10</v>
      </c>
      <c r="D55" s="7" t="e">
        <f>D50-D54</f>
        <v>#N/A</v>
      </c>
    </row>
    <row r="57" spans="1:19" ht="15" customHeight="1" x14ac:dyDescent="0.25">
      <c r="C57" s="16" t="s">
        <v>8</v>
      </c>
      <c r="D57" s="7" t="e">
        <f>F48</f>
        <v>#NUM!</v>
      </c>
      <c r="N57" s="10" t="s">
        <v>15</v>
      </c>
      <c r="O57" s="10">
        <f ca="1">-0.065*LN(D5) + 0.99999999</f>
        <v>0.50519809558409645</v>
      </c>
      <c r="R57" s="10" t="s">
        <v>15</v>
      </c>
      <c r="S57" s="10">
        <f ca="1">-0.065*LN(C17-D49+1) + 0.99999999</f>
        <v>0.99999998999999995</v>
      </c>
    </row>
    <row r="58" spans="1:19" ht="15" customHeight="1" x14ac:dyDescent="0.25">
      <c r="C58" s="7" t="s">
        <v>9</v>
      </c>
      <c r="D58" s="7" t="e">
        <f>D50*F48</f>
        <v>#NUM!</v>
      </c>
    </row>
    <row r="59" spans="1:19" ht="15" customHeight="1" x14ac:dyDescent="0.25">
      <c r="C59" s="7" t="s">
        <v>7</v>
      </c>
      <c r="D59" s="7" t="e">
        <f>D57*D54</f>
        <v>#NUM!</v>
      </c>
      <c r="N59" s="7">
        <v>1</v>
      </c>
      <c r="O59" s="14">
        <v>0.92643952499999993</v>
      </c>
      <c r="R59" s="7">
        <v>1</v>
      </c>
      <c r="S59" s="14">
        <v>0.92643952499999993</v>
      </c>
    </row>
    <row r="60" spans="1:19" ht="15" customHeight="1" x14ac:dyDescent="0.25">
      <c r="C60" s="7" t="s">
        <v>10</v>
      </c>
      <c r="D60" s="7" t="e">
        <f>D58-D59</f>
        <v>#NUM!</v>
      </c>
      <c r="N60" s="7">
        <v>10</v>
      </c>
      <c r="O60" s="14">
        <v>0.75649999999999995</v>
      </c>
      <c r="R60" s="7">
        <v>10</v>
      </c>
      <c r="S60" s="14">
        <v>0.75649999999999995</v>
      </c>
    </row>
    <row r="61" spans="1:19" ht="15" customHeight="1" x14ac:dyDescent="0.25">
      <c r="N61" s="7">
        <v>30</v>
      </c>
      <c r="O61" s="14">
        <v>0.67313999999999996</v>
      </c>
      <c r="R61" s="7">
        <v>30</v>
      </c>
      <c r="S61" s="14">
        <v>0.67313999999999996</v>
      </c>
    </row>
    <row r="64" spans="1:19" ht="15" customHeight="1" x14ac:dyDescent="0.25">
      <c r="A64" s="7">
        <f>E3</f>
        <v>0</v>
      </c>
      <c r="N64" s="10" t="s">
        <v>98</v>
      </c>
      <c r="O64" s="10">
        <f ca="1" xml:space="preserve"> -0.067*LN(D5) + 0.9852</f>
        <v>0.47517343190976091</v>
      </c>
    </row>
    <row r="66" spans="2:15" ht="15" customHeight="1" x14ac:dyDescent="0.25">
      <c r="N66" s="7">
        <v>1</v>
      </c>
      <c r="O66" s="14">
        <f xml:space="preserve"> -0.067*LN(1) + 0.9852</f>
        <v>0.98519999999999996</v>
      </c>
    </row>
    <row r="67" spans="2:15" ht="15" customHeight="1" x14ac:dyDescent="0.25">
      <c r="N67" s="7">
        <v>10</v>
      </c>
      <c r="O67" s="14">
        <f xml:space="preserve"> -0.067*LN(10) + 0.9852</f>
        <v>0.8309267987693989</v>
      </c>
    </row>
    <row r="68" spans="2:15" ht="15" customHeight="1" x14ac:dyDescent="0.25">
      <c r="N68" s="7">
        <v>30</v>
      </c>
      <c r="O68" s="14">
        <f xml:space="preserve"> -0.067*LN(30) + 0.9852</f>
        <v>0.7573197754286356</v>
      </c>
    </row>
    <row r="69" spans="2:15" ht="15" customHeight="1" x14ac:dyDescent="0.25">
      <c r="B69" s="685" t="s">
        <v>49</v>
      </c>
      <c r="C69" s="686"/>
      <c r="D69" s="119"/>
    </row>
    <row r="70" spans="2:15" ht="15" customHeight="1" x14ac:dyDescent="0.25">
      <c r="B70" s="120" t="s">
        <v>0</v>
      </c>
      <c r="C70" s="121" t="e">
        <f>VLOOKUP(A64,E95:G104,2,FALSE)</f>
        <v>#N/A</v>
      </c>
      <c r="D70" s="123"/>
      <c r="E70" s="687" t="s">
        <v>28</v>
      </c>
      <c r="F70" s="688"/>
      <c r="G70" s="689"/>
      <c r="H70" s="19"/>
      <c r="I70" s="19"/>
      <c r="J70" s="20"/>
      <c r="K70" s="19"/>
      <c r="L70" s="19"/>
      <c r="M70" s="19"/>
    </row>
    <row r="71" spans="2:15" ht="15" customHeight="1" x14ac:dyDescent="0.25">
      <c r="B71" s="120" t="s">
        <v>35</v>
      </c>
      <c r="C71" s="121" t="e">
        <f>INDEX(F71:F77,MATCH(C70,E71:E77,0))</f>
        <v>#N/A</v>
      </c>
      <c r="D71" s="123" t="e">
        <f>IF(C70="Olie","kWh/Liter",IF(C70="Naturgas","kWh/Nm3","kWh/Kg"))</f>
        <v>#N/A</v>
      </c>
      <c r="E71" s="21" t="s">
        <v>29</v>
      </c>
      <c r="F71" s="21">
        <v>11</v>
      </c>
      <c r="G71" s="22" t="s">
        <v>30</v>
      </c>
      <c r="H71" s="23" t="s">
        <v>31</v>
      </c>
      <c r="I71" s="19"/>
      <c r="J71" s="20"/>
      <c r="K71" s="19"/>
      <c r="L71" s="19"/>
      <c r="M71" s="19"/>
    </row>
    <row r="72" spans="2:15" ht="15" customHeight="1" x14ac:dyDescent="0.25">
      <c r="B72" s="120"/>
      <c r="C72" s="121"/>
      <c r="D72" s="123"/>
      <c r="E72" s="21" t="s">
        <v>204</v>
      </c>
      <c r="F72" s="21">
        <v>9.8699999999999992</v>
      </c>
      <c r="G72" s="22" t="s">
        <v>32</v>
      </c>
      <c r="H72" s="23" t="s">
        <v>31</v>
      </c>
      <c r="I72" s="19"/>
      <c r="J72" s="20"/>
      <c r="K72" s="19"/>
      <c r="L72" s="19"/>
      <c r="M72" s="19"/>
    </row>
    <row r="73" spans="2:15" ht="15" customHeight="1" x14ac:dyDescent="0.25">
      <c r="B73" s="120" t="s">
        <v>36</v>
      </c>
      <c r="C73" s="121" t="e">
        <f>'Tiltag 1'!#REF!</f>
        <v>#REF!</v>
      </c>
      <c r="D73" s="123" t="e">
        <f>IF(C70="Olie","Liter",IF(C70="Naturgas","Nm3","Kg"))</f>
        <v>#N/A</v>
      </c>
      <c r="E73" s="21" t="s">
        <v>13</v>
      </c>
      <c r="F73" s="21">
        <v>3.83</v>
      </c>
      <c r="G73" s="22" t="s">
        <v>33</v>
      </c>
      <c r="H73" s="23" t="s">
        <v>31</v>
      </c>
      <c r="I73" s="19"/>
      <c r="J73" s="20"/>
      <c r="K73" s="19"/>
      <c r="L73" s="19"/>
      <c r="M73" s="19"/>
    </row>
    <row r="74" spans="2:15" ht="15" customHeight="1" x14ac:dyDescent="0.25">
      <c r="B74" s="120"/>
      <c r="C74" s="121"/>
      <c r="D74" s="123"/>
      <c r="E74" s="21" t="s">
        <v>6</v>
      </c>
      <c r="F74" s="21">
        <v>4.67</v>
      </c>
      <c r="G74" s="22" t="s">
        <v>33</v>
      </c>
      <c r="H74" s="23" t="s">
        <v>31</v>
      </c>
      <c r="I74" s="19"/>
      <c r="J74" s="20"/>
      <c r="K74" s="19"/>
      <c r="L74" s="19"/>
      <c r="M74" s="19"/>
    </row>
    <row r="75" spans="2:15" ht="15" customHeight="1" x14ac:dyDescent="0.25">
      <c r="B75" s="120" t="s">
        <v>39</v>
      </c>
      <c r="C75" s="121" t="e">
        <f>IF('Tiltag 1'!G28="Ja",Graddageberegner!E27,Graddageberegner!C27)</f>
        <v>#N/A</v>
      </c>
      <c r="D75" s="123" t="s">
        <v>41</v>
      </c>
      <c r="E75" s="21" t="s">
        <v>121</v>
      </c>
      <c r="F75" s="113">
        <v>6.6150000000000002</v>
      </c>
      <c r="G75" s="22" t="s">
        <v>33</v>
      </c>
      <c r="H75" s="23" t="s">
        <v>31</v>
      </c>
      <c r="I75" s="19"/>
      <c r="J75" s="20"/>
      <c r="K75" s="19"/>
      <c r="L75" s="19"/>
      <c r="M75" s="19"/>
    </row>
    <row r="76" spans="2:15" ht="15" customHeight="1" x14ac:dyDescent="0.25">
      <c r="B76" s="120"/>
      <c r="C76" s="121"/>
      <c r="D76" s="123"/>
      <c r="E76" s="21" t="s">
        <v>122</v>
      </c>
      <c r="F76" s="21">
        <v>7.92</v>
      </c>
      <c r="G76" s="22" t="s">
        <v>33</v>
      </c>
      <c r="H76" s="23" t="s">
        <v>31</v>
      </c>
      <c r="I76" s="19"/>
      <c r="J76" s="19"/>
      <c r="K76" s="19"/>
      <c r="L76" s="19"/>
      <c r="M76" s="19"/>
    </row>
    <row r="77" spans="2:15" ht="15" customHeight="1" x14ac:dyDescent="0.15">
      <c r="B77" s="124" t="s">
        <v>40</v>
      </c>
      <c r="C77" s="125" t="e">
        <f>C75*(D14/100)</f>
        <v>#N/A</v>
      </c>
      <c r="D77" s="126" t="s">
        <v>41</v>
      </c>
      <c r="E77" s="21" t="s">
        <v>127</v>
      </c>
      <c r="F77" s="21">
        <v>10.89</v>
      </c>
      <c r="G77" s="22" t="s">
        <v>32</v>
      </c>
    </row>
    <row r="78" spans="2:15" ht="15" customHeight="1" x14ac:dyDescent="0.15">
      <c r="E78" s="24" t="s">
        <v>5</v>
      </c>
      <c r="F78" s="114">
        <v>4.0277777777777777</v>
      </c>
      <c r="G78" s="25" t="s">
        <v>33</v>
      </c>
      <c r="I78" s="7" t="s">
        <v>120</v>
      </c>
    </row>
    <row r="79" spans="2:15" ht="15" customHeight="1" x14ac:dyDescent="0.25">
      <c r="I79" s="7" t="s">
        <v>122</v>
      </c>
      <c r="J79" s="7">
        <v>7.92</v>
      </c>
    </row>
    <row r="80" spans="2:15" ht="15" customHeight="1" x14ac:dyDescent="0.25">
      <c r="B80" s="685" t="s">
        <v>48</v>
      </c>
      <c r="C80" s="686"/>
      <c r="D80" s="119"/>
      <c r="I80" s="7" t="s">
        <v>123</v>
      </c>
      <c r="J80" s="7">
        <v>4.7</v>
      </c>
    </row>
    <row r="81" spans="2:14" ht="15" customHeight="1" x14ac:dyDescent="0.15">
      <c r="B81" s="120" t="s">
        <v>0</v>
      </c>
      <c r="C81" s="121">
        <f>E47</f>
        <v>0</v>
      </c>
      <c r="D81" s="123"/>
      <c r="I81" s="7" t="s">
        <v>124</v>
      </c>
      <c r="J81" s="7">
        <v>8.5299999999999994</v>
      </c>
      <c r="M81" s="21" t="s">
        <v>29</v>
      </c>
      <c r="N81" s="7" t="str">
        <f>LOWER(M81)</f>
        <v>naturgas</v>
      </c>
    </row>
    <row r="82" spans="2:14" ht="15" customHeight="1" x14ac:dyDescent="0.15">
      <c r="B82" s="120" t="s">
        <v>35</v>
      </c>
      <c r="C82" s="121" t="e">
        <f>IF(C81="Varmepumpe","",IF(C81="Fjernvarme","",IF(C81="Elkedel","",INDEX(F71:F83,MATCH(C81,E71:E83,0)))))</f>
        <v>#N/A</v>
      </c>
      <c r="D82" s="123" t="str">
        <f>IF(C81="Olie","kWh/Liter",IF(C81="Naturgas","kWh/Nm3","kWh/Kg"))</f>
        <v>kWh/Kg</v>
      </c>
      <c r="E82" s="117" t="s">
        <v>51</v>
      </c>
      <c r="F82" s="7">
        <v>1</v>
      </c>
      <c r="I82" s="7" t="s">
        <v>125</v>
      </c>
      <c r="J82" s="7">
        <f>(J80+J81)/2</f>
        <v>6.6150000000000002</v>
      </c>
      <c r="M82" s="21" t="s">
        <v>126</v>
      </c>
      <c r="N82" s="7" t="str">
        <f t="shared" ref="N82:N86" si="0">LOWER(M82)</f>
        <v>fyringsolie</v>
      </c>
    </row>
    <row r="83" spans="2:14" ht="15" customHeight="1" x14ac:dyDescent="0.15">
      <c r="B83" s="120"/>
      <c r="C83" s="121"/>
      <c r="D83" s="123"/>
      <c r="E83" s="117" t="s">
        <v>52</v>
      </c>
      <c r="F83" s="7">
        <v>1</v>
      </c>
      <c r="I83" s="7" t="s">
        <v>86</v>
      </c>
      <c r="J83" s="7">
        <f>(J79+J82)/2</f>
        <v>7.2675000000000001</v>
      </c>
      <c r="M83" s="21" t="s">
        <v>338</v>
      </c>
      <c r="N83" s="7" t="str">
        <f t="shared" si="0"/>
        <v>træ og træaffald</v>
      </c>
    </row>
    <row r="84" spans="2:14" ht="15" customHeight="1" x14ac:dyDescent="0.15">
      <c r="B84" s="120" t="s">
        <v>133</v>
      </c>
      <c r="C84" s="121" t="e">
        <f>C77</f>
        <v>#N/A</v>
      </c>
      <c r="D84" s="123" t="s">
        <v>41</v>
      </c>
      <c r="E84" s="117" t="s">
        <v>118</v>
      </c>
      <c r="F84" s="7">
        <v>1</v>
      </c>
      <c r="M84" s="21" t="s">
        <v>361</v>
      </c>
      <c r="N84" s="7" t="str">
        <f t="shared" si="0"/>
        <v>træpiller/træbriketter</v>
      </c>
    </row>
    <row r="85" spans="2:14" ht="15" customHeight="1" x14ac:dyDescent="0.15">
      <c r="B85" s="120"/>
      <c r="C85" s="121"/>
      <c r="D85" s="123"/>
      <c r="E85" s="21" t="s">
        <v>29</v>
      </c>
      <c r="M85" s="21" t="s">
        <v>121</v>
      </c>
      <c r="N85" s="7" t="str">
        <f t="shared" si="0"/>
        <v>stenkul</v>
      </c>
    </row>
    <row r="86" spans="2:14" ht="15" customHeight="1" x14ac:dyDescent="0.15">
      <c r="B86" s="120" t="s">
        <v>218</v>
      </c>
      <c r="C86" s="121" t="e">
        <f>IF(C81="Varmepumpe",C84/'Tiltag 1'!G35,IF(C81="Fjernvarme",C84,IF(C81="Elkedel",C84,C84/(C103/100))))</f>
        <v>#N/A</v>
      </c>
      <c r="D86" s="123" t="s">
        <v>41</v>
      </c>
      <c r="E86" s="21" t="s">
        <v>126</v>
      </c>
      <c r="M86" s="21" t="s">
        <v>122</v>
      </c>
      <c r="N86" s="7" t="str">
        <f t="shared" si="0"/>
        <v>koks</v>
      </c>
    </row>
    <row r="87" spans="2:14" ht="15" customHeight="1" x14ac:dyDescent="0.15">
      <c r="B87" s="120"/>
      <c r="C87" s="121"/>
      <c r="D87" s="123"/>
      <c r="E87" s="21" t="s">
        <v>13</v>
      </c>
      <c r="M87" s="21" t="s">
        <v>127</v>
      </c>
      <c r="N87" s="21" t="s">
        <v>127</v>
      </c>
    </row>
    <row r="88" spans="2:14" ht="15" customHeight="1" x14ac:dyDescent="0.15">
      <c r="B88" s="120" t="s">
        <v>42</v>
      </c>
      <c r="C88" s="121" t="e">
        <f>IF(C81="Varmepumpe","",IF(C81="Fjernvarme","",IF(C81="Elkedel","",C86/C82)))</f>
        <v>#N/A</v>
      </c>
      <c r="D88" s="123" t="str">
        <f>IF(C81="Olie","Liter",IF(C81="Naturgas","Nm3","Kg"))</f>
        <v>Kg</v>
      </c>
      <c r="E88" s="21" t="s">
        <v>6</v>
      </c>
      <c r="M88" s="24" t="s">
        <v>5</v>
      </c>
      <c r="N88" s="7" t="str">
        <f>LOWER(M88)</f>
        <v>halm</v>
      </c>
    </row>
    <row r="89" spans="2:14" ht="15" customHeight="1" x14ac:dyDescent="0.15">
      <c r="B89" s="120"/>
      <c r="C89" s="121"/>
      <c r="D89" s="123"/>
      <c r="E89" s="21" t="s">
        <v>5</v>
      </c>
    </row>
    <row r="90" spans="2:14" ht="15" customHeight="1" x14ac:dyDescent="0.15">
      <c r="B90" s="124" t="s">
        <v>53</v>
      </c>
      <c r="C90" s="125">
        <f>IF(C81="Fjernvarme","",'Tiltag 1'!G37)</f>
        <v>0</v>
      </c>
      <c r="D90" s="126"/>
      <c r="E90" s="118" t="s">
        <v>127</v>
      </c>
      <c r="M90" s="7" t="s">
        <v>135</v>
      </c>
      <c r="N90" s="7" t="e">
        <f>VLOOKUP('Tiltag 1'!G16,'Forbrugsberegner 4'!M81:N88,2,FALSE)</f>
        <v>#N/A</v>
      </c>
    </row>
    <row r="91" spans="2:14" ht="15" customHeight="1" x14ac:dyDescent="0.15">
      <c r="E91" s="21" t="s">
        <v>121</v>
      </c>
    </row>
    <row r="92" spans="2:14" ht="15" customHeight="1" x14ac:dyDescent="0.15">
      <c r="B92" s="685" t="s">
        <v>43</v>
      </c>
      <c r="C92" s="686"/>
      <c r="D92" s="119"/>
      <c r="E92" s="21" t="s">
        <v>122</v>
      </c>
    </row>
    <row r="93" spans="2:14" ht="15" customHeight="1" x14ac:dyDescent="0.25">
      <c r="B93" s="120" t="s">
        <v>46</v>
      </c>
      <c r="C93" s="121" t="e">
        <f>VLOOKUP(A64,E95:G107,2,FALSE)</f>
        <v>#N/A</v>
      </c>
      <c r="D93" s="123"/>
    </row>
    <row r="94" spans="2:14" ht="15" customHeight="1" x14ac:dyDescent="0.25">
      <c r="B94" s="120" t="s">
        <v>35</v>
      </c>
      <c r="C94" s="121" t="e">
        <f>INDEX(F71:F77,MATCH(C70,E71:E77,0))</f>
        <v>#N/A</v>
      </c>
      <c r="D94" s="123" t="e">
        <f>IF(C93="Fyringsolie","kWh/Liter",IF(C93="Naturgas","kWh/Nm3","kWh/Kg"))</f>
        <v>#N/A</v>
      </c>
      <c r="E94" s="261" t="s">
        <v>202</v>
      </c>
      <c r="F94" s="7" t="s">
        <v>203</v>
      </c>
      <c r="G94" s="261" t="s">
        <v>363</v>
      </c>
    </row>
    <row r="95" spans="2:14" ht="15" customHeight="1" x14ac:dyDescent="0.25">
      <c r="B95" s="120"/>
      <c r="C95" s="121"/>
      <c r="D95" s="123"/>
      <c r="E95" s="7" t="s">
        <v>194</v>
      </c>
      <c r="F95" s="7" t="s">
        <v>29</v>
      </c>
      <c r="G95" s="7" t="s">
        <v>29</v>
      </c>
    </row>
    <row r="96" spans="2:14" ht="15" customHeight="1" x14ac:dyDescent="0.25">
      <c r="B96" s="120" t="s">
        <v>1</v>
      </c>
      <c r="C96" s="121">
        <f>D4</f>
        <v>0</v>
      </c>
      <c r="D96" s="123" t="s">
        <v>22</v>
      </c>
      <c r="E96" s="7" t="s">
        <v>195</v>
      </c>
      <c r="F96" s="7" t="s">
        <v>204</v>
      </c>
      <c r="G96" s="7" t="s">
        <v>14</v>
      </c>
    </row>
    <row r="97" spans="2:7" ht="15" customHeight="1" x14ac:dyDescent="0.25">
      <c r="B97" s="120" t="s">
        <v>136</v>
      </c>
      <c r="C97" s="121">
        <f>C96*8760</f>
        <v>0</v>
      </c>
      <c r="D97" s="123" t="s">
        <v>41</v>
      </c>
      <c r="E97" s="7" t="s">
        <v>196</v>
      </c>
      <c r="F97" s="7" t="s">
        <v>338</v>
      </c>
      <c r="G97" s="7" t="s">
        <v>13</v>
      </c>
    </row>
    <row r="98" spans="2:7" ht="15" customHeight="1" x14ac:dyDescent="0.25">
      <c r="B98" s="124" t="s">
        <v>137</v>
      </c>
      <c r="C98" s="125" t="e">
        <f>C97/C94</f>
        <v>#N/A</v>
      </c>
      <c r="D98" s="126" t="e">
        <f>IF(C93="Fyringsolie","Liter",IF(C93="Naturgas","Nm3","Kg"))</f>
        <v>#N/A</v>
      </c>
      <c r="E98" s="7" t="s">
        <v>197</v>
      </c>
      <c r="F98" s="7" t="s">
        <v>361</v>
      </c>
      <c r="G98" s="7" t="s">
        <v>6</v>
      </c>
    </row>
    <row r="99" spans="2:7" ht="15" customHeight="1" x14ac:dyDescent="0.25">
      <c r="E99" s="7" t="s">
        <v>198</v>
      </c>
      <c r="F99" s="7" t="s">
        <v>121</v>
      </c>
      <c r="G99" s="7" t="s">
        <v>98</v>
      </c>
    </row>
    <row r="100" spans="2:7" ht="15" customHeight="1" x14ac:dyDescent="0.25">
      <c r="B100" s="685" t="s">
        <v>87</v>
      </c>
      <c r="C100" s="686"/>
      <c r="D100" s="119"/>
      <c r="E100" s="7" t="s">
        <v>199</v>
      </c>
      <c r="F100" s="7" t="s">
        <v>122</v>
      </c>
      <c r="G100" s="7" t="s">
        <v>98</v>
      </c>
    </row>
    <row r="101" spans="2:7" ht="15" customHeight="1" x14ac:dyDescent="0.25">
      <c r="B101" s="120" t="s">
        <v>47</v>
      </c>
      <c r="C101" s="465">
        <f>'Tiltag 4'!E40</f>
        <v>0</v>
      </c>
      <c r="D101" s="122" t="s">
        <v>23</v>
      </c>
      <c r="E101" s="7" t="s">
        <v>200</v>
      </c>
      <c r="F101" s="7" t="s">
        <v>206</v>
      </c>
      <c r="G101" s="7" t="s">
        <v>14</v>
      </c>
    </row>
    <row r="102" spans="2:7" ht="15" customHeight="1" x14ac:dyDescent="0.25">
      <c r="B102" s="120" t="s">
        <v>45</v>
      </c>
      <c r="C102" s="121">
        <f>'Tiltag 4'!C40:D40</f>
        <v>0</v>
      </c>
      <c r="D102" s="123" t="s">
        <v>22</v>
      </c>
      <c r="E102" s="7" t="s">
        <v>169</v>
      </c>
      <c r="F102" s="7" t="s">
        <v>29</v>
      </c>
      <c r="G102" s="7" t="s">
        <v>29</v>
      </c>
    </row>
    <row r="103" spans="2:7" ht="15" customHeight="1" x14ac:dyDescent="0.25">
      <c r="B103" s="124" t="s">
        <v>50</v>
      </c>
      <c r="C103" s="125" t="e">
        <f>IF(C81="Varmepumpe","",IF(C81="Fjernvarme","",IF(C81="Elkedel","",C101*(0.0043*LN(C102)+0.93))))</f>
        <v>#NUM!</v>
      </c>
      <c r="D103" s="126" t="s">
        <v>23</v>
      </c>
      <c r="E103" s="7" t="s">
        <v>170</v>
      </c>
      <c r="F103" s="7" t="s">
        <v>204</v>
      </c>
      <c r="G103" s="7" t="s">
        <v>14</v>
      </c>
    </row>
    <row r="104" spans="2:7" ht="15" customHeight="1" x14ac:dyDescent="0.25">
      <c r="E104" s="7" t="s">
        <v>171</v>
      </c>
      <c r="F104" s="7" t="s">
        <v>29</v>
      </c>
      <c r="G104" s="7" t="s">
        <v>29</v>
      </c>
    </row>
    <row r="105" spans="2:7" ht="15" customHeight="1" x14ac:dyDescent="0.25">
      <c r="E105" s="7" t="s">
        <v>52</v>
      </c>
      <c r="F105" s="7" t="s">
        <v>52</v>
      </c>
      <c r="G105" s="7" t="s">
        <v>52</v>
      </c>
    </row>
    <row r="106" spans="2:7" ht="15" customHeight="1" x14ac:dyDescent="0.25">
      <c r="E106" s="7" t="s">
        <v>51</v>
      </c>
      <c r="F106" s="7" t="s">
        <v>216</v>
      </c>
      <c r="G106" s="7" t="s">
        <v>216</v>
      </c>
    </row>
    <row r="107" spans="2:7" ht="15" customHeight="1" x14ac:dyDescent="0.25">
      <c r="B107" s="7" t="s">
        <v>132</v>
      </c>
      <c r="C107" s="7">
        <f>IF(OR('Tiltag 1'!G33="Elkedel",'Tiltag 1'!G33="Varmepumpe"),"Elektricitet",'Tiltag 1'!G33)</f>
        <v>0</v>
      </c>
      <c r="E107" s="7" t="s">
        <v>118</v>
      </c>
      <c r="F107" s="7" t="s">
        <v>216</v>
      </c>
      <c r="G107" s="7" t="s">
        <v>216</v>
      </c>
    </row>
    <row r="108" spans="2:7" ht="15" customHeight="1" x14ac:dyDescent="0.25">
      <c r="B108" s="7" t="s">
        <v>129</v>
      </c>
      <c r="C108" s="7">
        <f>IF('Tiltag 1'!G16="Fyringsolie","Gas-/dieselolie",IF('Tiltag 1'!G16="Heavy Fuel Oil","Fuelolie",IF('Tiltag 1'!G16="Flis","Skovflis",'Tiltag 1'!G16)))</f>
        <v>0</v>
      </c>
      <c r="E108" s="7" t="s">
        <v>201</v>
      </c>
      <c r="F108" s="7" t="s">
        <v>5</v>
      </c>
      <c r="G108" s="7" t="s">
        <v>5</v>
      </c>
    </row>
    <row r="109" spans="2:7" ht="15" customHeight="1" x14ac:dyDescent="0.25">
      <c r="B109" s="7" t="s">
        <v>130</v>
      </c>
      <c r="C109" s="7">
        <f>IF('Tiltag 1'!G33="Fyringsolie","Gas-/dieselolie",IF('Tiltag 1'!G33="Flis","Skovflis",IF(OR('Tiltag 1'!G33="Elkedel",'Tiltag 1'!G33="Varmepumpe"),"Elektricitet",'Tiltag 1'!G33)))</f>
        <v>0</v>
      </c>
    </row>
    <row r="110" spans="2:7" ht="15" customHeight="1" x14ac:dyDescent="0.25">
      <c r="E110" s="7" t="s">
        <v>194</v>
      </c>
      <c r="F110" s="7" t="s">
        <v>29</v>
      </c>
      <c r="G110" s="7" t="s">
        <v>29</v>
      </c>
    </row>
    <row r="111" spans="2:7" ht="15" customHeight="1" x14ac:dyDescent="0.25">
      <c r="E111" s="7" t="s">
        <v>195</v>
      </c>
      <c r="F111" s="7" t="s">
        <v>204</v>
      </c>
      <c r="G111" s="7" t="s">
        <v>14</v>
      </c>
    </row>
    <row r="112" spans="2:7" ht="15" customHeight="1" x14ac:dyDescent="0.25">
      <c r="E112" s="7" t="s">
        <v>196</v>
      </c>
      <c r="F112" s="7" t="s">
        <v>338</v>
      </c>
      <c r="G112" s="7" t="s">
        <v>13</v>
      </c>
    </row>
    <row r="113" spans="5:7" ht="15" customHeight="1" x14ac:dyDescent="0.25">
      <c r="E113" s="7" t="s">
        <v>197</v>
      </c>
      <c r="F113" s="7" t="s">
        <v>361</v>
      </c>
      <c r="G113" s="7" t="s">
        <v>6</v>
      </c>
    </row>
    <row r="114" spans="5:7" ht="15" customHeight="1" x14ac:dyDescent="0.25">
      <c r="E114" s="7" t="s">
        <v>201</v>
      </c>
      <c r="F114" s="7" t="s">
        <v>5</v>
      </c>
      <c r="G114" s="7" t="s">
        <v>5</v>
      </c>
    </row>
  </sheetData>
  <sheetProtection selectLockedCells="1" selectUnlockedCells="1"/>
  <mergeCells count="7">
    <mergeCell ref="B100:C100"/>
    <mergeCell ref="N1:O1"/>
    <mergeCell ref="R1:S1"/>
    <mergeCell ref="B69:C69"/>
    <mergeCell ref="E70:G70"/>
    <mergeCell ref="B80:C80"/>
    <mergeCell ref="B92:C92"/>
  </mergeCells>
  <hyperlinks>
    <hyperlink ref="H71" r:id="rId1"/>
    <hyperlink ref="H72:H75" r:id="rId2" display="https://ens.dk/sites/ens.dk/files/CO2/standardfaktorer_for_2019.pdf"/>
    <hyperlink ref="H76" r:id="rId3"/>
  </hyperlinks>
  <pageMargins left="0.7" right="0.7" top="0.75" bottom="0.75" header="0.3" footer="0.3"/>
  <pageSetup paperSize="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O92"/>
  <sheetViews>
    <sheetView workbookViewId="0"/>
  </sheetViews>
  <sheetFormatPr defaultRowHeight="15" x14ac:dyDescent="0.25"/>
  <cols>
    <col min="2" max="2" width="23.42578125" customWidth="1"/>
    <col min="3" max="3" width="23.5703125" customWidth="1"/>
    <col min="4" max="4" width="19" bestFit="1" customWidth="1"/>
    <col min="5" max="5" width="10.7109375" bestFit="1" customWidth="1"/>
    <col min="6" max="6" width="12" bestFit="1" customWidth="1"/>
    <col min="9" max="9" width="12" bestFit="1" customWidth="1"/>
    <col min="10" max="10" width="19" bestFit="1" customWidth="1"/>
    <col min="13" max="13" width="93.42578125" bestFit="1" customWidth="1"/>
    <col min="14" max="14" width="9" bestFit="1" customWidth="1"/>
    <col min="15" max="15" width="93.42578125" bestFit="1" customWidth="1"/>
    <col min="16" max="16" width="19" bestFit="1" customWidth="1"/>
  </cols>
  <sheetData>
    <row r="2" spans="1:13" ht="15.75" thickBot="1" x14ac:dyDescent="0.3"/>
    <row r="3" spans="1:13" x14ac:dyDescent="0.25">
      <c r="B3" s="204" t="s">
        <v>59</v>
      </c>
      <c r="C3" s="205">
        <f>'Tiltag 4'!C32</f>
        <v>0</v>
      </c>
    </row>
    <row r="4" spans="1:13" x14ac:dyDescent="0.25">
      <c r="B4" s="206" t="s">
        <v>61</v>
      </c>
      <c r="C4" s="207" t="e">
        <f>'Forbrugsberegner 4'!D3</f>
        <v>#N/A</v>
      </c>
      <c r="K4">
        <f ca="1">YEAR(TODAY())</f>
        <v>2023</v>
      </c>
    </row>
    <row r="5" spans="1:13" x14ac:dyDescent="0.25">
      <c r="B5" s="206" t="s">
        <v>68</v>
      </c>
      <c r="C5" s="46">
        <f>'Tiltag 4'!E32</f>
        <v>0</v>
      </c>
    </row>
    <row r="6" spans="1:13" ht="25.5" customHeight="1" thickBot="1" x14ac:dyDescent="0.3">
      <c r="B6" s="211" t="s">
        <v>58</v>
      </c>
      <c r="C6" s="58" t="e">
        <f>IF(OR(C4="Halm",C4="Træflis",C4="Træpiller",C4="Brænde"),1,IF(AND(C3&gt;0,C3&lt;69.999),1,IF(AND(C3&gt;69.999,C3&lt;199.999),2,IF(AND(C3&gt;199.999,C3&lt;1000.001),3,0))))</f>
        <v>#N/A</v>
      </c>
    </row>
    <row r="7" spans="1:13" ht="15.75" thickBot="1" x14ac:dyDescent="0.3"/>
    <row r="8" spans="1:13" x14ac:dyDescent="0.25">
      <c r="A8" s="41"/>
      <c r="B8" s="42" t="s">
        <v>14</v>
      </c>
      <c r="C8" s="43"/>
      <c r="D8" s="43"/>
      <c r="E8" s="43"/>
      <c r="F8" s="43"/>
      <c r="G8" s="43"/>
      <c r="H8" s="43"/>
      <c r="I8" s="44"/>
    </row>
    <row r="9" spans="1:13" x14ac:dyDescent="0.25">
      <c r="A9" s="45"/>
      <c r="B9" s="38"/>
      <c r="C9" s="38"/>
      <c r="D9" s="38" t="s">
        <v>55</v>
      </c>
      <c r="E9" s="38" t="s">
        <v>56</v>
      </c>
      <c r="F9" s="38" t="s">
        <v>57</v>
      </c>
      <c r="G9" s="38"/>
      <c r="H9" s="38"/>
      <c r="I9" s="46"/>
    </row>
    <row r="10" spans="1:13" ht="15.75" thickBot="1" x14ac:dyDescent="0.3">
      <c r="A10" s="45"/>
      <c r="B10" s="38"/>
      <c r="C10" s="48"/>
      <c r="D10" s="48">
        <v>1</v>
      </c>
      <c r="E10" s="48">
        <v>2</v>
      </c>
      <c r="F10" s="48">
        <v>3</v>
      </c>
      <c r="G10" s="38"/>
      <c r="H10" s="38"/>
      <c r="I10" s="46"/>
      <c r="M10" t="e">
        <f>IF(C4="Olie",1,IF(C4="Naturgas",2,IF(C4="Halm",3,IF(C4="Flis",4,IF(C4="Træpiller",5,IF(C4="Brænde",6,IF(C4="Kul/koks",7,"""")))))))</f>
        <v>#N/A</v>
      </c>
    </row>
    <row r="11" spans="1:13" x14ac:dyDescent="0.25">
      <c r="A11" s="45"/>
      <c r="B11" s="38"/>
      <c r="C11" s="437" t="s">
        <v>143</v>
      </c>
      <c r="D11" s="438">
        <v>0.84</v>
      </c>
      <c r="E11" s="439">
        <v>0.86</v>
      </c>
      <c r="F11" s="439">
        <v>0.89</v>
      </c>
      <c r="G11" s="38"/>
      <c r="H11" s="38"/>
      <c r="I11" s="46"/>
    </row>
    <row r="12" spans="1:13" ht="15.75" thickBot="1" x14ac:dyDescent="0.3">
      <c r="A12" s="45"/>
      <c r="B12" s="38"/>
      <c r="C12" s="29" t="s">
        <v>54</v>
      </c>
      <c r="D12" s="31">
        <v>0.91</v>
      </c>
      <c r="E12" s="33">
        <v>0.92</v>
      </c>
      <c r="F12" s="33">
        <v>0.93</v>
      </c>
      <c r="G12" s="38"/>
      <c r="H12" s="38">
        <v>1</v>
      </c>
      <c r="I12" s="46" t="s">
        <v>55</v>
      </c>
    </row>
    <row r="13" spans="1:13" ht="24.75" thickBot="1" x14ac:dyDescent="0.3">
      <c r="A13" s="45"/>
      <c r="B13" s="38"/>
      <c r="C13" s="208" t="s">
        <v>96</v>
      </c>
      <c r="D13" s="31">
        <v>0.98</v>
      </c>
      <c r="E13" s="34">
        <v>0.99</v>
      </c>
      <c r="F13" s="33">
        <v>0.99</v>
      </c>
      <c r="G13" s="38"/>
      <c r="H13" s="38">
        <v>2</v>
      </c>
      <c r="I13" s="46" t="s">
        <v>56</v>
      </c>
      <c r="L13" t="e">
        <f>IF(M13="","",MAX(L$12:L12)+1)</f>
        <v>#N/A</v>
      </c>
      <c r="M13" t="e">
        <f>IF(AND($M$10=1,$C$5&lt;1970),C11,IF(AND($M$10=1,$C$5&gt;1969.99,$C$5&lt;1990.1),C12,IF(AND($M$10=1,$C$5&gt;1990.1,$C$5&lt;K4-10),C13,IF(AND($M$10=1,$K$4-$C$5&lt;10.0001),C14,IF(AND($M$10=2,K4-$C$5&gt;10.0001,C5&gt;1999.9),C28,IF(AND(M10=2,K4-C5&lt;10.0001),C29,IF(AND(M10=2,K4-$C$5&gt;10.0001,C5&lt;2000),C27,IF($M$10=3,C42,IF($M$10=4,C56,IF($M$10=5,C66,IF($M$10=6,C76,IF(C4=B90,"Kul/koks",""))))))))))))</f>
        <v>#N/A</v>
      </c>
    </row>
    <row r="14" spans="1:13" ht="24.75" thickBot="1" x14ac:dyDescent="0.3">
      <c r="A14" s="45"/>
      <c r="B14" s="38"/>
      <c r="C14" s="29" t="s">
        <v>97</v>
      </c>
      <c r="D14" s="31">
        <v>1.02</v>
      </c>
      <c r="E14" s="32">
        <v>1.03</v>
      </c>
      <c r="F14" s="33">
        <v>1.01</v>
      </c>
      <c r="G14" s="38"/>
      <c r="H14" s="38">
        <v>3</v>
      </c>
      <c r="I14" s="46" t="s">
        <v>57</v>
      </c>
      <c r="L14" t="e">
        <f>IF(M14="","",MAX(L$12:L13)+1)</f>
        <v>#N/A</v>
      </c>
      <c r="M14" t="e">
        <f>IF(AND($M$10=1,$C$5&lt;1970),#REF!,IF($M$10=3,C43,""))</f>
        <v>#N/A</v>
      </c>
    </row>
    <row r="15" spans="1:13" x14ac:dyDescent="0.25">
      <c r="A15" s="45"/>
      <c r="B15" s="38"/>
      <c r="G15" s="38"/>
      <c r="H15" s="38"/>
      <c r="I15" s="46"/>
      <c r="L15" t="e">
        <f>IF(M15="","",MAX(L$12:L14)+1)</f>
        <v>#N/A</v>
      </c>
      <c r="M15" t="e">
        <f>IF(AND($M$10=1,$C$5&lt;1970),C11,IF($M$10=3,C44,""))</f>
        <v>#N/A</v>
      </c>
    </row>
    <row r="16" spans="1:13" x14ac:dyDescent="0.25">
      <c r="A16" s="45"/>
      <c r="B16" s="38"/>
      <c r="G16" s="38"/>
      <c r="H16" s="38"/>
      <c r="I16" s="46"/>
      <c r="L16" t="e">
        <f>IF(M16="","",MAX(L$12:L15)+1)</f>
        <v>#N/A</v>
      </c>
      <c r="M16" t="e">
        <f>IF($M$10=3,C45,"")</f>
        <v>#N/A</v>
      </c>
    </row>
    <row r="17" spans="1:15" x14ac:dyDescent="0.25">
      <c r="A17" s="45"/>
      <c r="B17" s="38"/>
      <c r="C17" s="38"/>
      <c r="D17" s="38"/>
      <c r="E17" s="38"/>
      <c r="F17" s="38"/>
      <c r="G17" s="38"/>
      <c r="H17" s="38"/>
      <c r="I17" s="46"/>
      <c r="L17" t="e">
        <f>IF(M17="","",MAX(L$12:L16)+1)</f>
        <v>#N/A</v>
      </c>
      <c r="M17" t="e">
        <f>IF($M$10=3,C46,"")</f>
        <v>#N/A</v>
      </c>
    </row>
    <row r="18" spans="1:15" x14ac:dyDescent="0.25">
      <c r="A18" s="45"/>
      <c r="B18" s="38"/>
      <c r="C18" s="38"/>
      <c r="D18" s="38"/>
      <c r="E18" s="38"/>
      <c r="F18" s="38"/>
      <c r="G18" s="38"/>
      <c r="H18" s="38"/>
      <c r="I18" s="46"/>
    </row>
    <row r="19" spans="1:15" x14ac:dyDescent="0.25">
      <c r="A19" s="45"/>
      <c r="B19" s="38"/>
      <c r="C19" s="38"/>
      <c r="D19" s="38"/>
      <c r="E19" s="38"/>
      <c r="F19" s="38"/>
      <c r="G19" s="38"/>
      <c r="H19" s="38"/>
      <c r="I19" s="46"/>
    </row>
    <row r="20" spans="1:15" x14ac:dyDescent="0.25">
      <c r="A20" s="45"/>
      <c r="B20" s="39" t="s">
        <v>60</v>
      </c>
      <c r="C20" s="38" t="e">
        <f>+INDEX(D11:F14,MATCH(M13,C11:C14,0),MATCH(C6,D10:F10,1))</f>
        <v>#N/A</v>
      </c>
      <c r="D20" s="38">
        <f ca="1">IF(K4-C5&gt;10,1)</f>
        <v>1</v>
      </c>
      <c r="E20" s="38"/>
      <c r="F20" s="38"/>
      <c r="G20" s="38"/>
      <c r="H20" s="38"/>
      <c r="I20" s="46"/>
      <c r="M20" t="s">
        <v>128</v>
      </c>
    </row>
    <row r="21" spans="1:15" ht="15.75" thickBot="1" x14ac:dyDescent="0.3">
      <c r="A21" s="47"/>
      <c r="B21" s="48"/>
      <c r="C21" s="48"/>
      <c r="D21" s="48"/>
      <c r="E21" s="48"/>
      <c r="F21" s="48"/>
      <c r="G21" s="48"/>
      <c r="H21" s="48"/>
      <c r="I21" s="49"/>
    </row>
    <row r="23" spans="1:15" ht="15.75" thickBot="1" x14ac:dyDescent="0.3"/>
    <row r="24" spans="1:15" x14ac:dyDescent="0.25">
      <c r="A24" s="41"/>
      <c r="B24" s="42" t="s">
        <v>29</v>
      </c>
      <c r="C24" s="43"/>
      <c r="D24" s="43"/>
      <c r="E24" s="43"/>
      <c r="F24" s="43"/>
      <c r="G24" s="43"/>
      <c r="H24" s="43"/>
      <c r="I24" s="44"/>
    </row>
    <row r="25" spans="1:15" x14ac:dyDescent="0.25">
      <c r="A25" s="45"/>
      <c r="B25" s="38"/>
      <c r="C25" s="38"/>
      <c r="D25" s="38" t="s">
        <v>55</v>
      </c>
      <c r="E25" s="38" t="s">
        <v>56</v>
      </c>
      <c r="F25" s="38" t="s">
        <v>57</v>
      </c>
      <c r="G25" s="38"/>
      <c r="H25" s="38"/>
      <c r="I25" s="46"/>
    </row>
    <row r="26" spans="1:15" ht="15.75" thickBot="1" x14ac:dyDescent="0.3">
      <c r="A26" s="45"/>
      <c r="B26" s="38"/>
      <c r="C26" s="38"/>
      <c r="D26" s="38">
        <v>1</v>
      </c>
      <c r="E26" s="38">
        <v>2</v>
      </c>
      <c r="F26" s="38">
        <v>3</v>
      </c>
      <c r="G26" s="38"/>
      <c r="H26" s="38"/>
      <c r="I26" s="46"/>
    </row>
    <row r="27" spans="1:15" ht="15.75" thickBot="1" x14ac:dyDescent="0.3">
      <c r="A27" s="45"/>
      <c r="B27" s="38"/>
      <c r="C27" s="36" t="s">
        <v>141</v>
      </c>
      <c r="D27" s="30">
        <v>0.9</v>
      </c>
      <c r="E27" s="32">
        <v>0.86</v>
      </c>
      <c r="F27" s="32">
        <v>0.93</v>
      </c>
      <c r="G27" s="38"/>
      <c r="H27" s="38">
        <v>1</v>
      </c>
      <c r="I27" s="46" t="s">
        <v>55</v>
      </c>
    </row>
    <row r="28" spans="1:15" ht="15.75" thickBot="1" x14ac:dyDescent="0.3">
      <c r="A28" s="45"/>
      <c r="B28" s="38"/>
      <c r="C28" s="29" t="s">
        <v>146</v>
      </c>
      <c r="D28" s="31">
        <v>0.96</v>
      </c>
      <c r="E28" s="33">
        <v>1.01</v>
      </c>
      <c r="F28" s="33">
        <v>1.02</v>
      </c>
      <c r="G28" s="38"/>
      <c r="H28" s="38">
        <v>2</v>
      </c>
      <c r="I28" s="46" t="s">
        <v>56</v>
      </c>
    </row>
    <row r="29" spans="1:15" ht="15.75" thickBot="1" x14ac:dyDescent="0.3">
      <c r="A29" s="45"/>
      <c r="B29" s="38"/>
      <c r="C29" s="29" t="s">
        <v>142</v>
      </c>
      <c r="D29" s="31">
        <v>1.02</v>
      </c>
      <c r="E29" s="33">
        <v>1.02</v>
      </c>
      <c r="F29" s="33">
        <v>1.03</v>
      </c>
      <c r="G29" s="38"/>
      <c r="H29" s="38">
        <v>3</v>
      </c>
      <c r="I29" s="46" t="s">
        <v>57</v>
      </c>
    </row>
    <row r="30" spans="1:15" x14ac:dyDescent="0.25">
      <c r="A30" s="45"/>
      <c r="B30" s="38"/>
      <c r="C30" s="38"/>
      <c r="D30" s="38"/>
      <c r="E30" s="38"/>
      <c r="F30" s="38"/>
      <c r="G30" s="38"/>
      <c r="H30" s="38"/>
      <c r="I30" s="46"/>
    </row>
    <row r="31" spans="1:15" x14ac:dyDescent="0.25">
      <c r="A31" s="45"/>
      <c r="B31" s="38"/>
      <c r="C31" s="38"/>
      <c r="D31" s="38"/>
      <c r="E31" s="38"/>
      <c r="F31" s="38"/>
      <c r="G31" s="38"/>
      <c r="H31" s="38"/>
      <c r="I31" s="46"/>
      <c r="L31" s="50"/>
      <c r="M31" s="50"/>
      <c r="N31" s="50"/>
      <c r="O31" s="50"/>
    </row>
    <row r="32" spans="1:15" x14ac:dyDescent="0.25">
      <c r="A32" s="45"/>
      <c r="B32" s="38"/>
      <c r="C32" s="38"/>
      <c r="D32" s="38"/>
      <c r="E32" s="38"/>
      <c r="F32" s="38"/>
      <c r="G32" s="38"/>
      <c r="H32" s="38"/>
      <c r="I32" s="46"/>
      <c r="L32" s="37"/>
      <c r="M32" s="51"/>
      <c r="N32" s="51"/>
      <c r="O32" s="51"/>
    </row>
    <row r="33" spans="1:15" x14ac:dyDescent="0.25">
      <c r="A33" s="45"/>
      <c r="B33" s="39" t="s">
        <v>64</v>
      </c>
      <c r="C33" s="38" t="e">
        <f>+INDEX(D27:F29,MATCH(M13,C27:C29,0),MATCH(C6,D26:F26,1))</f>
        <v>#N/A</v>
      </c>
      <c r="D33" s="38"/>
      <c r="E33" s="38"/>
      <c r="F33" s="38"/>
      <c r="G33" s="38"/>
      <c r="H33" s="38"/>
      <c r="I33" s="46"/>
      <c r="L33" s="37"/>
      <c r="M33" s="51"/>
      <c r="N33" s="51"/>
      <c r="O33" s="51"/>
    </row>
    <row r="34" spans="1:15" ht="15.75" thickBot="1" x14ac:dyDescent="0.3">
      <c r="A34" s="47"/>
      <c r="B34" s="48"/>
      <c r="C34" s="48"/>
      <c r="D34" s="48"/>
      <c r="E34" s="48"/>
      <c r="F34" s="48"/>
      <c r="G34" s="48"/>
      <c r="H34" s="48"/>
      <c r="I34" s="49"/>
      <c r="L34" s="37"/>
      <c r="M34" s="51"/>
      <c r="N34" s="51"/>
      <c r="O34" s="51"/>
    </row>
    <row r="35" spans="1:15" x14ac:dyDescent="0.25">
      <c r="L35" s="50"/>
      <c r="M35" s="50"/>
      <c r="N35" s="50"/>
      <c r="O35" s="50"/>
    </row>
    <row r="38" spans="1:15" ht="15.75" thickBot="1" x14ac:dyDescent="0.3"/>
    <row r="39" spans="1:15" x14ac:dyDescent="0.25">
      <c r="B39" s="42" t="s">
        <v>62</v>
      </c>
      <c r="C39" s="43"/>
      <c r="D39" s="43"/>
      <c r="E39" s="43"/>
      <c r="F39" s="43"/>
      <c r="G39" s="43"/>
      <c r="H39" s="43"/>
      <c r="I39" s="44"/>
    </row>
    <row r="40" spans="1:15" x14ac:dyDescent="0.25">
      <c r="B40" s="38"/>
      <c r="C40" s="38"/>
      <c r="D40" s="38" t="s">
        <v>63</v>
      </c>
      <c r="E40" s="38"/>
      <c r="F40" s="38"/>
      <c r="G40" s="38"/>
      <c r="H40" s="38"/>
      <c r="I40" s="46"/>
    </row>
    <row r="41" spans="1:15" ht="15.75" thickBot="1" x14ac:dyDescent="0.3">
      <c r="B41" s="38"/>
      <c r="C41" s="38"/>
      <c r="D41" s="38">
        <v>1</v>
      </c>
      <c r="E41" s="38"/>
      <c r="F41" s="38"/>
      <c r="G41" s="38"/>
      <c r="H41" s="38"/>
      <c r="I41" s="46"/>
    </row>
    <row r="42" spans="1:15" ht="15.75" thickBot="1" x14ac:dyDescent="0.3">
      <c r="B42" s="38"/>
      <c r="C42" s="36" t="s">
        <v>69</v>
      </c>
      <c r="D42" s="52">
        <v>0.88</v>
      </c>
      <c r="E42" s="55"/>
      <c r="F42" s="55"/>
      <c r="G42" s="38"/>
      <c r="H42" s="38">
        <v>1</v>
      </c>
      <c r="I42" s="46" t="s">
        <v>63</v>
      </c>
    </row>
    <row r="43" spans="1:15" ht="15.75" thickBot="1" x14ac:dyDescent="0.3">
      <c r="B43" s="38"/>
      <c r="C43" s="29"/>
      <c r="D43" s="53"/>
      <c r="E43" s="55"/>
      <c r="F43" s="55"/>
      <c r="G43" s="38"/>
      <c r="H43" s="38"/>
      <c r="I43" s="46"/>
    </row>
    <row r="44" spans="1:15" ht="15.75" thickBot="1" x14ac:dyDescent="0.3">
      <c r="B44" s="38"/>
      <c r="C44" s="35"/>
      <c r="D44" s="54"/>
      <c r="E44" s="38"/>
      <c r="F44" s="55"/>
      <c r="G44" s="38"/>
      <c r="H44" s="38"/>
      <c r="I44" s="46"/>
    </row>
    <row r="45" spans="1:15" ht="15.75" thickBot="1" x14ac:dyDescent="0.3">
      <c r="B45" s="38"/>
      <c r="C45" s="35"/>
      <c r="D45" s="33"/>
      <c r="F45" s="38"/>
      <c r="G45" s="38"/>
      <c r="H45" s="38"/>
      <c r="I45" s="46"/>
    </row>
    <row r="46" spans="1:15" ht="15.75" thickBot="1" x14ac:dyDescent="0.3">
      <c r="B46" s="38"/>
      <c r="C46" s="29"/>
      <c r="D46" s="33"/>
      <c r="F46" s="38"/>
      <c r="G46" s="38"/>
      <c r="H46" s="38"/>
      <c r="I46" s="46"/>
    </row>
    <row r="47" spans="1:15" x14ac:dyDescent="0.25">
      <c r="B47" s="38"/>
      <c r="C47" s="38"/>
      <c r="D47" s="38"/>
      <c r="E47" s="38"/>
      <c r="F47" s="38"/>
      <c r="G47" s="38"/>
      <c r="H47" s="38"/>
      <c r="I47" s="46"/>
    </row>
    <row r="48" spans="1:15" x14ac:dyDescent="0.25">
      <c r="B48" s="39" t="s">
        <v>65</v>
      </c>
      <c r="C48" s="38" t="e">
        <f>+INDEX(D42:D46,MATCH(M13,C42:C46,0),MATCH(C6,D41,1))</f>
        <v>#N/A</v>
      </c>
      <c r="D48" s="38"/>
      <c r="E48" s="38"/>
      <c r="F48" s="38"/>
      <c r="G48" s="38"/>
      <c r="H48" s="38"/>
      <c r="I48" s="46"/>
    </row>
    <row r="49" spans="2:9" ht="15.75" thickBot="1" x14ac:dyDescent="0.3">
      <c r="B49" s="48"/>
      <c r="C49" s="48"/>
      <c r="D49" s="48"/>
      <c r="E49" s="48"/>
      <c r="F49" s="48"/>
      <c r="G49" s="48"/>
      <c r="H49" s="48"/>
      <c r="I49" s="49"/>
    </row>
    <row r="52" spans="2:9" ht="15.75" thickBot="1" x14ac:dyDescent="0.3"/>
    <row r="53" spans="2:9" x14ac:dyDescent="0.25">
      <c r="B53" s="42" t="s">
        <v>66</v>
      </c>
      <c r="C53" s="43"/>
      <c r="D53" s="43"/>
      <c r="E53" s="43"/>
      <c r="F53" s="43"/>
      <c r="G53" s="43"/>
      <c r="H53" s="43"/>
      <c r="I53" s="44"/>
    </row>
    <row r="54" spans="2:9" x14ac:dyDescent="0.25">
      <c r="B54" s="38"/>
      <c r="C54" s="38"/>
      <c r="D54" s="38" t="s">
        <v>63</v>
      </c>
      <c r="E54" s="38"/>
      <c r="F54" s="38"/>
      <c r="G54" s="38"/>
      <c r="H54" s="38"/>
      <c r="I54" s="46"/>
    </row>
    <row r="55" spans="2:9" ht="15.75" thickBot="1" x14ac:dyDescent="0.3">
      <c r="B55" s="38"/>
      <c r="C55" s="38"/>
      <c r="D55" s="38">
        <v>1</v>
      </c>
      <c r="E55" s="38"/>
      <c r="F55" s="38"/>
      <c r="G55" s="38"/>
      <c r="H55" s="38"/>
      <c r="I55" s="46"/>
    </row>
    <row r="56" spans="2:9" ht="15.75" thickBot="1" x14ac:dyDescent="0.3">
      <c r="B56" s="38"/>
      <c r="C56" s="36" t="s">
        <v>67</v>
      </c>
      <c r="D56" s="52">
        <v>0.97</v>
      </c>
      <c r="E56" s="55"/>
      <c r="F56" s="55"/>
      <c r="G56" s="38"/>
      <c r="H56" s="38">
        <v>1</v>
      </c>
      <c r="I56" s="46" t="s">
        <v>63</v>
      </c>
    </row>
    <row r="57" spans="2:9" x14ac:dyDescent="0.25">
      <c r="B57" s="38"/>
      <c r="C57" s="38"/>
      <c r="D57" s="38"/>
      <c r="E57" s="38"/>
      <c r="F57" s="38"/>
      <c r="G57" s="38"/>
      <c r="H57" s="38"/>
      <c r="I57" s="46"/>
    </row>
    <row r="58" spans="2:9" x14ac:dyDescent="0.25">
      <c r="B58" s="39" t="s">
        <v>71</v>
      </c>
      <c r="C58" s="38" t="e">
        <f>+INDEX(D56:D56,MATCH(M13,C56:C56,0),MATCH(C6,D55,1))</f>
        <v>#N/A</v>
      </c>
      <c r="D58" s="38"/>
      <c r="E58" s="38"/>
      <c r="F58" s="38"/>
      <c r="G58" s="38"/>
      <c r="H58" s="38"/>
      <c r="I58" s="46"/>
    </row>
    <row r="59" spans="2:9" ht="15.75" thickBot="1" x14ac:dyDescent="0.3">
      <c r="B59" s="48"/>
      <c r="C59" s="48"/>
      <c r="D59" s="48"/>
      <c r="E59" s="48"/>
      <c r="F59" s="48"/>
      <c r="G59" s="48"/>
      <c r="H59" s="48"/>
      <c r="I59" s="49"/>
    </row>
    <row r="62" spans="2:9" ht="15.75" thickBot="1" x14ac:dyDescent="0.3"/>
    <row r="63" spans="2:9" x14ac:dyDescent="0.25">
      <c r="B63" s="42" t="s">
        <v>6</v>
      </c>
      <c r="C63" s="43"/>
      <c r="D63" s="43"/>
      <c r="E63" s="43"/>
      <c r="F63" s="43"/>
      <c r="G63" s="43"/>
      <c r="H63" s="43"/>
      <c r="I63" s="44"/>
    </row>
    <row r="64" spans="2:9" x14ac:dyDescent="0.25">
      <c r="B64" s="38"/>
      <c r="C64" s="38"/>
      <c r="D64" s="38" t="s">
        <v>63</v>
      </c>
      <c r="E64" s="38"/>
      <c r="F64" s="38"/>
      <c r="G64" s="38"/>
      <c r="H64" s="38"/>
      <c r="I64" s="46"/>
    </row>
    <row r="65" spans="2:9" ht="15.75" thickBot="1" x14ac:dyDescent="0.3">
      <c r="B65" s="38"/>
      <c r="C65" s="38"/>
      <c r="D65" s="38">
        <v>1</v>
      </c>
      <c r="E65" s="38"/>
      <c r="F65" s="38"/>
      <c r="G65" s="38"/>
      <c r="H65" s="38"/>
      <c r="I65" s="46"/>
    </row>
    <row r="66" spans="2:9" ht="15.75" thickBot="1" x14ac:dyDescent="0.3">
      <c r="B66" s="38"/>
      <c r="C66" s="36" t="s">
        <v>6</v>
      </c>
      <c r="D66" s="52">
        <v>0.96</v>
      </c>
      <c r="E66" s="55"/>
      <c r="F66" s="55"/>
      <c r="G66" s="38"/>
      <c r="H66" s="38">
        <v>1</v>
      </c>
      <c r="I66" s="46" t="s">
        <v>63</v>
      </c>
    </row>
    <row r="67" spans="2:9" x14ac:dyDescent="0.25">
      <c r="B67" s="38"/>
      <c r="C67" s="38"/>
      <c r="D67" s="38"/>
      <c r="E67" s="38"/>
      <c r="F67" s="38"/>
      <c r="G67" s="38"/>
      <c r="H67" s="38"/>
      <c r="I67" s="46"/>
    </row>
    <row r="68" spans="2:9" x14ac:dyDescent="0.25">
      <c r="B68" s="39" t="s">
        <v>72</v>
      </c>
      <c r="C68" s="38" t="e">
        <f>+INDEX(D66:D66,MATCH(M13,C66:C66,0),MATCH(C6,D65,1))</f>
        <v>#N/A</v>
      </c>
      <c r="D68" s="38"/>
      <c r="E68" s="38"/>
      <c r="F68" s="38"/>
      <c r="G68" s="38"/>
      <c r="H68" s="38"/>
      <c r="I68" s="46"/>
    </row>
    <row r="69" spans="2:9" ht="15.75" thickBot="1" x14ac:dyDescent="0.3">
      <c r="B69" s="48"/>
      <c r="C69" s="48"/>
      <c r="D69" s="48"/>
      <c r="E69" s="48"/>
      <c r="F69" s="48"/>
      <c r="G69" s="48"/>
      <c r="H69" s="48"/>
      <c r="I69" s="49"/>
    </row>
    <row r="72" spans="2:9" ht="15.75" thickBot="1" x14ac:dyDescent="0.3"/>
    <row r="73" spans="2:9" x14ac:dyDescent="0.25">
      <c r="B73" s="42" t="s">
        <v>12</v>
      </c>
      <c r="C73" s="43"/>
      <c r="D73" s="43"/>
      <c r="E73" s="43"/>
      <c r="F73" s="43"/>
      <c r="G73" s="43"/>
      <c r="H73" s="43"/>
      <c r="I73" s="44"/>
    </row>
    <row r="74" spans="2:9" x14ac:dyDescent="0.25">
      <c r="B74" s="38"/>
      <c r="C74" s="38"/>
      <c r="D74" s="38"/>
      <c r="E74" s="38"/>
      <c r="F74" s="38"/>
      <c r="G74" s="38"/>
      <c r="H74" s="38"/>
      <c r="I74" s="46"/>
    </row>
    <row r="75" spans="2:9" ht="15.75" thickBot="1" x14ac:dyDescent="0.3">
      <c r="B75" s="38"/>
      <c r="C75" s="38"/>
      <c r="D75" s="38">
        <v>1</v>
      </c>
      <c r="E75" s="38"/>
      <c r="F75" s="38"/>
      <c r="G75" s="38"/>
      <c r="H75" s="38"/>
      <c r="I75" s="46"/>
    </row>
    <row r="76" spans="2:9" ht="15.75" thickBot="1" x14ac:dyDescent="0.3">
      <c r="B76" s="38"/>
      <c r="C76" s="36" t="s">
        <v>145</v>
      </c>
      <c r="D76" s="52">
        <v>0.94</v>
      </c>
      <c r="E76" s="55"/>
      <c r="F76" s="55"/>
      <c r="G76" s="38"/>
      <c r="H76" s="38"/>
      <c r="I76" s="46"/>
    </row>
    <row r="77" spans="2:9" x14ac:dyDescent="0.25">
      <c r="B77" s="38"/>
      <c r="C77" s="38"/>
      <c r="D77" s="38"/>
      <c r="E77" s="38"/>
      <c r="F77" s="38"/>
      <c r="G77" s="38"/>
      <c r="H77" s="38"/>
      <c r="I77" s="46"/>
    </row>
    <row r="78" spans="2:9" x14ac:dyDescent="0.25">
      <c r="B78" s="39" t="s">
        <v>307</v>
      </c>
      <c r="C78" s="38" t="e">
        <f>+INDEX(D76:D76,MATCH(M13,C76:C76,0),MATCH(C6,D75,1))</f>
        <v>#N/A</v>
      </c>
      <c r="D78" s="38"/>
      <c r="E78" s="38"/>
      <c r="F78" s="38"/>
      <c r="G78" s="38"/>
      <c r="H78" s="38"/>
      <c r="I78" s="46"/>
    </row>
    <row r="79" spans="2:9" ht="15.75" thickBot="1" x14ac:dyDescent="0.3">
      <c r="B79" s="48"/>
      <c r="C79" s="48"/>
      <c r="D79" s="48"/>
      <c r="E79" s="48"/>
      <c r="F79" s="48"/>
      <c r="G79" s="48"/>
      <c r="H79" s="48"/>
      <c r="I79" s="49"/>
    </row>
    <row r="84" spans="2:3" x14ac:dyDescent="0.25">
      <c r="B84" t="s">
        <v>70</v>
      </c>
    </row>
    <row r="85" spans="2:3" x14ac:dyDescent="0.25">
      <c r="B85" t="s">
        <v>14</v>
      </c>
      <c r="C85" t="e">
        <f>C20</f>
        <v>#N/A</v>
      </c>
    </row>
    <row r="86" spans="2:3" x14ac:dyDescent="0.25">
      <c r="B86" t="s">
        <v>29</v>
      </c>
      <c r="C86" t="e">
        <f>C33</f>
        <v>#N/A</v>
      </c>
    </row>
    <row r="87" spans="2:3" x14ac:dyDescent="0.25">
      <c r="B87" t="s">
        <v>5</v>
      </c>
      <c r="C87" t="e">
        <f>C48</f>
        <v>#N/A</v>
      </c>
    </row>
    <row r="88" spans="2:3" x14ac:dyDescent="0.25">
      <c r="B88" t="s">
        <v>13</v>
      </c>
      <c r="C88" t="e">
        <f>C58</f>
        <v>#N/A</v>
      </c>
    </row>
    <row r="89" spans="2:3" x14ac:dyDescent="0.25">
      <c r="B89" t="s">
        <v>6</v>
      </c>
      <c r="C89" t="e">
        <f>C68</f>
        <v>#N/A</v>
      </c>
    </row>
    <row r="90" spans="2:3" x14ac:dyDescent="0.25">
      <c r="B90" t="s">
        <v>98</v>
      </c>
      <c r="C90" s="64">
        <f>IF(OR('Tiltag 1'!G16="Stenkul",'Tiltag 1'!G16="Koks"),'Virkningsgradsberegner 4'!D76,)</f>
        <v>0</v>
      </c>
    </row>
    <row r="91" spans="2:3" x14ac:dyDescent="0.25">
      <c r="B91" t="s">
        <v>12</v>
      </c>
      <c r="C91" s="64" t="e">
        <f>C78</f>
        <v>#N/A</v>
      </c>
    </row>
    <row r="92" spans="2:3" x14ac:dyDescent="0.25">
      <c r="B92" t="s">
        <v>44</v>
      </c>
      <c r="C92" t="e">
        <f>+INDEX(C85:C91,MATCH(C4,B85:B91,0))*100</f>
        <v>#N/A</v>
      </c>
    </row>
  </sheetData>
  <dataValidations count="1">
    <dataValidation type="list" allowBlank="1" showInputMessage="1" showErrorMessage="1" sqref="M20">
      <formula1>$M$13:$M$17</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tabColor rgb="FF00B050"/>
    <pageSetUpPr fitToPage="1"/>
  </sheetPr>
  <dimension ref="A1:Y55"/>
  <sheetViews>
    <sheetView zoomScale="80" zoomScaleNormal="80" workbookViewId="0">
      <selection activeCell="M8" sqref="M8"/>
    </sheetView>
  </sheetViews>
  <sheetFormatPr defaultColWidth="9.28515625" defaultRowHeight="15" x14ac:dyDescent="0.25"/>
  <cols>
    <col min="1" max="1" width="22.42578125" style="201" customWidth="1"/>
    <col min="2" max="2" width="7.42578125" style="201" customWidth="1"/>
    <col min="3" max="3" width="11.7109375" style="201" bestFit="1" customWidth="1"/>
    <col min="4" max="4" width="35.5703125" style="201" customWidth="1"/>
    <col min="5" max="5" width="11" style="201" customWidth="1"/>
    <col min="6" max="6" width="29.5703125" style="201" customWidth="1"/>
    <col min="7" max="7" width="25.5703125" style="201" bestFit="1" customWidth="1"/>
    <col min="8" max="8" width="19.5703125" style="201" customWidth="1"/>
    <col min="9" max="9" width="9.28515625" style="201" customWidth="1"/>
    <col min="10" max="10" width="7.28515625" style="201" customWidth="1"/>
    <col min="11" max="11" width="11" style="201" bestFit="1" customWidth="1"/>
    <col min="12" max="12" width="9.28515625" style="201"/>
    <col min="13" max="13" width="7.28515625" style="201" customWidth="1"/>
    <col min="14" max="14" width="9.28515625" style="201"/>
    <col min="15" max="15" width="21.7109375" style="201" customWidth="1"/>
    <col min="16" max="16" width="10.42578125" style="201" customWidth="1"/>
    <col min="17" max="17" width="13.28515625" style="201" customWidth="1"/>
    <col min="18" max="18" width="9.28515625" style="201"/>
    <col min="19" max="19" width="30.7109375" style="141" bestFit="1" customWidth="1"/>
    <col min="20" max="20" width="9.42578125" style="141" bestFit="1" customWidth="1"/>
    <col min="21" max="16384" width="9.28515625" style="141"/>
  </cols>
  <sheetData>
    <row r="1" spans="1:18" x14ac:dyDescent="0.25">
      <c r="A1" s="97"/>
      <c r="B1" s="585" t="s">
        <v>16</v>
      </c>
      <c r="C1" s="585"/>
      <c r="D1" s="586"/>
      <c r="E1" s="586"/>
      <c r="F1" s="139" t="s">
        <v>220</v>
      </c>
      <c r="G1" s="139"/>
      <c r="H1" s="139"/>
      <c r="I1" s="139"/>
      <c r="J1" s="70"/>
      <c r="K1" s="70"/>
      <c r="L1" s="69"/>
      <c r="M1" s="99"/>
      <c r="N1" s="69"/>
      <c r="O1" s="99"/>
      <c r="P1" s="69"/>
      <c r="Q1" s="69"/>
      <c r="R1" s="140"/>
    </row>
    <row r="2" spans="1:18" x14ac:dyDescent="0.25">
      <c r="A2" s="70"/>
      <c r="B2" s="585"/>
      <c r="C2" s="585"/>
      <c r="D2" s="586"/>
      <c r="E2" s="586"/>
      <c r="F2" s="139" t="s">
        <v>73</v>
      </c>
      <c r="G2" s="139"/>
      <c r="H2" s="139"/>
      <c r="I2" s="139"/>
      <c r="J2" s="70"/>
      <c r="K2" s="70"/>
      <c r="L2" s="71"/>
      <c r="M2" s="71"/>
      <c r="N2" s="142"/>
      <c r="O2" s="71"/>
      <c r="P2" s="71"/>
      <c r="Q2" s="71"/>
      <c r="R2" s="140"/>
    </row>
    <row r="3" spans="1:18" ht="18" x14ac:dyDescent="0.25">
      <c r="A3" s="101"/>
      <c r="B3" s="73" t="str">
        <f>Beskrivelse!C10</f>
        <v>Tiltag 1 Udskiftning af varmeforsyning - Dokumenteret forbrug</v>
      </c>
      <c r="C3" s="143"/>
      <c r="D3" s="70"/>
      <c r="E3" s="70"/>
      <c r="F3" s="70"/>
      <c r="G3" s="70"/>
      <c r="H3" s="70"/>
      <c r="I3" s="70"/>
      <c r="J3" s="70"/>
      <c r="K3" s="70"/>
      <c r="L3" s="70"/>
      <c r="M3" s="71"/>
      <c r="N3" s="142"/>
      <c r="O3" s="71"/>
      <c r="P3" s="71"/>
      <c r="Q3" s="75"/>
      <c r="R3" s="140"/>
    </row>
    <row r="4" spans="1:18" ht="15" customHeight="1" x14ac:dyDescent="0.25">
      <c r="A4" s="104"/>
      <c r="B4" s="104"/>
      <c r="C4" s="104"/>
      <c r="D4" s="104"/>
      <c r="E4" s="104"/>
      <c r="F4" s="104"/>
      <c r="G4" s="104"/>
      <c r="H4" s="104"/>
      <c r="I4" s="104"/>
      <c r="J4" s="104"/>
      <c r="K4" s="104"/>
      <c r="L4" s="104"/>
      <c r="M4" s="104"/>
      <c r="N4" s="104"/>
      <c r="O4" s="104"/>
      <c r="P4" s="104"/>
      <c r="Q4" s="104"/>
      <c r="R4" s="140"/>
    </row>
    <row r="5" spans="1:18" x14ac:dyDescent="0.25">
      <c r="A5" s="70"/>
      <c r="B5" s="144"/>
      <c r="C5" s="70"/>
      <c r="D5" s="70"/>
      <c r="E5" s="70"/>
      <c r="F5" s="70"/>
      <c r="G5" s="70"/>
      <c r="H5" s="70"/>
      <c r="I5" s="70"/>
      <c r="J5" s="70"/>
      <c r="K5" s="70"/>
      <c r="L5" s="70"/>
      <c r="M5" s="70"/>
      <c r="N5" s="70"/>
      <c r="O5" s="70"/>
      <c r="P5" s="70"/>
      <c r="Q5" s="70"/>
      <c r="R5" s="140"/>
    </row>
    <row r="6" spans="1:18" x14ac:dyDescent="0.25">
      <c r="A6" s="70"/>
      <c r="B6" s="587" t="s">
        <v>17</v>
      </c>
      <c r="C6" s="587"/>
      <c r="D6" s="587"/>
      <c r="E6" s="587"/>
      <c r="F6" s="587"/>
      <c r="G6" s="587"/>
      <c r="H6" s="587"/>
      <c r="I6" s="587"/>
      <c r="J6" s="587"/>
      <c r="K6" s="587"/>
      <c r="L6" s="587"/>
      <c r="M6" s="70"/>
      <c r="N6" s="70"/>
      <c r="O6" s="70"/>
      <c r="P6" s="70"/>
      <c r="Q6" s="70"/>
      <c r="R6" s="140"/>
    </row>
    <row r="7" spans="1:18" x14ac:dyDescent="0.25">
      <c r="A7" s="70"/>
      <c r="B7" s="587"/>
      <c r="C7" s="587"/>
      <c r="D7" s="587"/>
      <c r="E7" s="587"/>
      <c r="F7" s="587"/>
      <c r="G7" s="587"/>
      <c r="H7" s="587"/>
      <c r="I7" s="587"/>
      <c r="J7" s="587"/>
      <c r="K7" s="587"/>
      <c r="L7" s="587"/>
      <c r="M7" s="145"/>
      <c r="N7" s="146"/>
      <c r="O7" s="146"/>
      <c r="P7" s="70"/>
      <c r="Q7" s="70"/>
      <c r="R7" s="140"/>
    </row>
    <row r="8" spans="1:18" x14ac:dyDescent="0.25">
      <c r="A8" s="70"/>
      <c r="B8" s="147" t="s">
        <v>18</v>
      </c>
      <c r="C8" s="588" t="s">
        <v>335</v>
      </c>
      <c r="D8" s="588"/>
      <c r="E8" s="588"/>
      <c r="F8" s="588"/>
      <c r="G8" s="588"/>
      <c r="H8" s="588"/>
      <c r="I8" s="588"/>
      <c r="J8" s="588"/>
      <c r="K8" s="588"/>
      <c r="L8" s="589"/>
      <c r="M8" s="148"/>
      <c r="N8" s="137" t="s">
        <v>19</v>
      </c>
      <c r="O8" s="137">
        <f>IF(M8="",0,IF(M8=N8,1,-1))</f>
        <v>0</v>
      </c>
      <c r="P8" s="149"/>
      <c r="Q8" s="70"/>
      <c r="R8" s="140"/>
    </row>
    <row r="9" spans="1:18" x14ac:dyDescent="0.25">
      <c r="A9" s="70"/>
      <c r="B9" s="147" t="s">
        <v>18</v>
      </c>
      <c r="C9" s="467" t="s">
        <v>119</v>
      </c>
      <c r="D9" s="202"/>
      <c r="E9" s="202"/>
      <c r="F9" s="202"/>
      <c r="G9" s="202"/>
      <c r="H9" s="202"/>
      <c r="I9" s="202"/>
      <c r="J9" s="202"/>
      <c r="K9" s="202"/>
      <c r="L9" s="203"/>
      <c r="M9" s="148"/>
      <c r="N9" s="137" t="s">
        <v>19</v>
      </c>
      <c r="O9" s="137">
        <f>IF(M9="",0,IF(M9=N9,1,-1))</f>
        <v>0</v>
      </c>
      <c r="P9" s="149"/>
      <c r="Q9" s="70"/>
      <c r="R9" s="140"/>
    </row>
    <row r="10" spans="1:18" x14ac:dyDescent="0.25">
      <c r="A10" s="70"/>
      <c r="B10" s="147" t="s">
        <v>18</v>
      </c>
      <c r="C10" s="467" t="s">
        <v>334</v>
      </c>
      <c r="D10" s="202"/>
      <c r="E10" s="202"/>
      <c r="F10" s="202"/>
      <c r="G10" s="202"/>
      <c r="H10" s="202"/>
      <c r="I10" s="202"/>
      <c r="J10" s="202"/>
      <c r="K10" s="202"/>
      <c r="L10" s="203"/>
      <c r="M10" s="148"/>
      <c r="N10" s="137" t="s">
        <v>19</v>
      </c>
      <c r="O10" s="137">
        <f>IF(M10="",0,IF(M10=N10,1,-1))</f>
        <v>0</v>
      </c>
      <c r="P10" s="149"/>
      <c r="Q10" s="70"/>
      <c r="R10" s="140"/>
    </row>
    <row r="11" spans="1:18" x14ac:dyDescent="0.25">
      <c r="A11" s="70"/>
      <c r="B11" s="147" t="s">
        <v>18</v>
      </c>
      <c r="C11" s="588" t="s">
        <v>349</v>
      </c>
      <c r="D11" s="588"/>
      <c r="E11" s="588"/>
      <c r="F11" s="588"/>
      <c r="G11" s="588"/>
      <c r="H11" s="588"/>
      <c r="I11" s="588"/>
      <c r="J11" s="588"/>
      <c r="K11" s="588"/>
      <c r="L11" s="589"/>
      <c r="M11" s="148"/>
      <c r="N11" s="137" t="s">
        <v>19</v>
      </c>
      <c r="O11" s="137">
        <f>IF(M11="",0,IF(M11=N11,1,-1))</f>
        <v>0</v>
      </c>
      <c r="P11" s="149"/>
      <c r="Q11" s="70"/>
      <c r="R11" s="140"/>
    </row>
    <row r="12" spans="1:18" ht="29.25" x14ac:dyDescent="0.25">
      <c r="A12" s="70"/>
      <c r="B12" s="150" t="str">
        <f>IF(I12=0,"Spørgsmål om afgrænsning er ikke besvaret",IF(I12=1,"Projektet er omfattet af standardløsningen","Projektet er IKKE omfattet af standardløsningen"))</f>
        <v>Spørgsmål om afgrænsning er ikke besvaret</v>
      </c>
      <c r="C12" s="151"/>
      <c r="D12" s="151"/>
      <c r="E12" s="151"/>
      <c r="F12" s="151"/>
      <c r="G12" s="152" t="s">
        <v>100</v>
      </c>
      <c r="H12" s="151"/>
      <c r="I12" s="138">
        <f>MIN(O8:O11)</f>
        <v>0</v>
      </c>
      <c r="J12" s="70"/>
      <c r="K12" s="276"/>
      <c r="L12" s="70"/>
      <c r="M12" s="70"/>
      <c r="N12" s="70"/>
      <c r="O12" s="70"/>
      <c r="P12" s="70"/>
      <c r="Q12" s="70"/>
      <c r="R12" s="140"/>
    </row>
    <row r="13" spans="1:18" ht="22.5" x14ac:dyDescent="0.3">
      <c r="A13" s="70"/>
      <c r="B13" s="153"/>
      <c r="C13" s="70"/>
      <c r="D13" s="70"/>
      <c r="E13" s="70"/>
      <c r="F13" s="70"/>
      <c r="G13" s="70"/>
      <c r="H13" s="70"/>
      <c r="I13" s="70"/>
      <c r="J13" s="155"/>
      <c r="K13" s="277"/>
      <c r="L13" s="70"/>
      <c r="M13" s="70"/>
      <c r="N13" s="70"/>
      <c r="O13" s="70"/>
      <c r="P13" s="70"/>
      <c r="Q13" s="101"/>
      <c r="R13" s="140"/>
    </row>
    <row r="14" spans="1:18" ht="18" x14ac:dyDescent="0.25">
      <c r="A14" s="70"/>
      <c r="B14" s="575" t="s">
        <v>21</v>
      </c>
      <c r="C14" s="575"/>
      <c r="D14" s="575"/>
      <c r="E14" s="575"/>
      <c r="F14" s="575"/>
      <c r="G14" s="575"/>
      <c r="H14" s="575"/>
      <c r="I14" s="575"/>
      <c r="J14" s="70"/>
      <c r="K14" s="156" t="s">
        <v>24</v>
      </c>
      <c r="L14" s="70"/>
      <c r="M14" s="101"/>
      <c r="N14" s="101"/>
      <c r="O14" s="101"/>
      <c r="P14" s="101"/>
      <c r="Q14" s="70"/>
      <c r="R14" s="140"/>
    </row>
    <row r="15" spans="1:18" ht="24.75" customHeight="1" x14ac:dyDescent="0.25">
      <c r="A15" s="70"/>
      <c r="B15" s="157">
        <v>1</v>
      </c>
      <c r="C15" s="458" t="s">
        <v>315</v>
      </c>
      <c r="D15" s="453"/>
      <c r="E15" s="159"/>
      <c r="F15" s="159"/>
      <c r="G15" s="160"/>
      <c r="H15" s="160"/>
      <c r="I15" s="160"/>
      <c r="J15" s="70"/>
      <c r="K15" s="161" t="s">
        <v>111</v>
      </c>
      <c r="L15" s="162"/>
      <c r="M15" s="162"/>
      <c r="N15" s="162"/>
      <c r="O15" s="136" t="str">
        <f>IF(G16="","-",VLOOKUP('Tiltag 1'!G16,'Forbrugsberegner 1'!E95:F104,2,FALSE))</f>
        <v>-</v>
      </c>
      <c r="P15" s="161"/>
      <c r="Q15" s="163"/>
      <c r="R15" s="140"/>
    </row>
    <row r="16" spans="1:18" ht="24.75" customHeight="1" x14ac:dyDescent="0.25">
      <c r="A16" s="70"/>
      <c r="B16" s="164" t="s">
        <v>103</v>
      </c>
      <c r="C16" s="459" t="s">
        <v>373</v>
      </c>
      <c r="D16" s="165"/>
      <c r="E16" s="165"/>
      <c r="F16" s="166"/>
      <c r="G16" s="576"/>
      <c r="H16" s="576"/>
      <c r="I16" s="167"/>
      <c r="J16" s="70"/>
      <c r="K16" s="161" t="s">
        <v>110</v>
      </c>
      <c r="L16" s="161"/>
      <c r="M16" s="161"/>
      <c r="N16" s="161"/>
      <c r="O16" s="134" t="str">
        <f>IFERROR(IF(OR(G22="",G16="",G17="",G18=""),"-",IF(G24&gt;'Forbrugsberegner 1'!C98,"Ugyldigt energiforbrug",Graddageberegner!C30/1000)),"-")</f>
        <v>-</v>
      </c>
      <c r="P16" s="136" t="s">
        <v>25</v>
      </c>
      <c r="Q16" s="163"/>
      <c r="R16" s="140"/>
    </row>
    <row r="17" spans="1:25" s="173" customFormat="1" ht="26.65" customHeight="1" x14ac:dyDescent="0.25">
      <c r="A17" s="169"/>
      <c r="B17" s="164" t="s">
        <v>102</v>
      </c>
      <c r="C17" s="577" t="s">
        <v>314</v>
      </c>
      <c r="D17" s="577"/>
      <c r="E17" s="577"/>
      <c r="F17" s="578"/>
      <c r="G17" s="579"/>
      <c r="H17" s="580"/>
      <c r="I17" s="167"/>
      <c r="J17" s="70"/>
      <c r="K17" s="168"/>
      <c r="L17" s="168"/>
      <c r="M17" s="168"/>
      <c r="N17" s="168"/>
      <c r="O17" s="136"/>
      <c r="P17" s="168"/>
      <c r="Q17" s="171"/>
      <c r="R17" s="172"/>
    </row>
    <row r="18" spans="1:25" ht="24.75" customHeight="1" x14ac:dyDescent="0.25">
      <c r="A18" s="70"/>
      <c r="B18" s="164" t="s">
        <v>317</v>
      </c>
      <c r="C18" s="583" t="s">
        <v>372</v>
      </c>
      <c r="D18" s="565"/>
      <c r="E18" s="565"/>
      <c r="F18" s="584"/>
      <c r="G18" s="581"/>
      <c r="H18" s="582"/>
      <c r="I18" s="167"/>
      <c r="J18" s="169"/>
      <c r="K18" s="161" t="s">
        <v>109</v>
      </c>
      <c r="L18" s="170"/>
      <c r="M18" s="170"/>
      <c r="N18" s="170"/>
      <c r="O18" s="136" t="str">
        <f>IF(G33="","-",VLOOKUP('Tiltag 1'!G33,'Forbrugsberegner 1'!E113:F117,2,FALSE))</f>
        <v>-</v>
      </c>
      <c r="P18" s="168"/>
      <c r="Q18" s="163"/>
      <c r="R18" s="140"/>
    </row>
    <row r="19" spans="1:25" ht="24.75" customHeight="1" x14ac:dyDescent="0.25">
      <c r="A19" s="70"/>
      <c r="B19" s="174"/>
      <c r="C19" s="565" t="str">
        <f>IF(G16="Kul/koks","Normvirkningsgrad","")</f>
        <v/>
      </c>
      <c r="D19" s="565"/>
      <c r="E19" s="565"/>
      <c r="F19" s="565"/>
      <c r="G19" s="590"/>
      <c r="H19" s="590"/>
      <c r="I19" s="167"/>
      <c r="J19" s="70"/>
      <c r="K19" s="161" t="s">
        <v>108</v>
      </c>
      <c r="L19" s="170"/>
      <c r="M19" s="170"/>
      <c r="N19" s="170"/>
      <c r="O19" s="134" t="str">
        <f>IFERROR(IF(G33="","-",IF(OR(O16="Ugyldigt energiforbrug",O16="Ugyldige årstal",O16="-"),O16,'Forbrugsberegner 1'!C86/1000)),"-")</f>
        <v>-</v>
      </c>
      <c r="P19" s="136" t="s">
        <v>25</v>
      </c>
      <c r="Q19" s="163"/>
      <c r="R19" s="140"/>
      <c r="T19" s="175"/>
      <c r="U19" s="175"/>
      <c r="V19" s="175"/>
      <c r="W19" s="175"/>
      <c r="X19" s="175"/>
      <c r="Y19" s="175"/>
    </row>
    <row r="20" spans="1:25" ht="24.75" customHeight="1" thickBot="1" x14ac:dyDescent="0.3">
      <c r="A20" s="70"/>
      <c r="B20" s="164"/>
      <c r="C20" s="176"/>
      <c r="D20" s="176"/>
      <c r="E20" s="176"/>
      <c r="F20" s="176"/>
      <c r="G20" s="462"/>
      <c r="H20" s="462"/>
      <c r="I20" s="167"/>
      <c r="J20" s="70"/>
      <c r="K20" s="161"/>
      <c r="L20" s="170"/>
      <c r="M20" s="170"/>
      <c r="N20" s="170"/>
      <c r="O20" s="168"/>
      <c r="P20" s="168"/>
      <c r="Q20" s="163"/>
      <c r="R20" s="140"/>
      <c r="T20" s="175"/>
      <c r="U20" s="175"/>
      <c r="V20" s="175"/>
      <c r="W20" s="175"/>
      <c r="X20" s="175"/>
      <c r="Y20" s="175"/>
    </row>
    <row r="21" spans="1:25" ht="24.75" customHeight="1" thickBot="1" x14ac:dyDescent="0.3">
      <c r="A21" s="70"/>
      <c r="B21" s="174">
        <v>2</v>
      </c>
      <c r="C21" s="158" t="str">
        <f>IFERROR("Opgørelse af nuværende forbrug af"&amp;" "&amp;LOWER(O15),"Opgørelse af nuværende forbrug")</f>
        <v>Opgørelse af nuværende forbrug af -</v>
      </c>
      <c r="D21" s="179"/>
      <c r="E21" s="179"/>
      <c r="F21" s="179"/>
      <c r="G21" s="180"/>
      <c r="H21" s="180"/>
      <c r="I21" s="167"/>
      <c r="J21" s="70"/>
      <c r="K21" s="562" t="s">
        <v>26</v>
      </c>
      <c r="L21" s="563"/>
      <c r="M21" s="563"/>
      <c r="N21" s="563"/>
      <c r="O21" s="135" t="str">
        <f>IFERROR(IF(OR(O19="-",O16="-"),"-",IF(I12=1,O16-O19,"Input mangler / Ugyldig kombination!")),"-")</f>
        <v>-</v>
      </c>
      <c r="P21" s="178" t="s">
        <v>25</v>
      </c>
      <c r="Q21" s="163"/>
      <c r="R21" s="140"/>
      <c r="T21" s="175"/>
      <c r="U21" s="175"/>
      <c r="V21" s="175"/>
      <c r="W21" s="175"/>
      <c r="X21" s="175"/>
      <c r="Y21" s="175"/>
    </row>
    <row r="22" spans="1:25" ht="27" customHeight="1" x14ac:dyDescent="0.25">
      <c r="A22" s="70"/>
      <c r="B22" s="164" t="s">
        <v>316</v>
      </c>
      <c r="C22" s="565" t="s">
        <v>106</v>
      </c>
      <c r="D22" s="565"/>
      <c r="E22" s="565"/>
      <c r="F22" s="179"/>
      <c r="G22" s="571"/>
      <c r="H22" s="572"/>
      <c r="I22" s="167"/>
      <c r="J22" s="70"/>
      <c r="K22" s="181" t="s">
        <v>350</v>
      </c>
      <c r="L22" s="140"/>
      <c r="M22" s="140"/>
      <c r="N22" s="140"/>
      <c r="O22" s="140"/>
      <c r="P22" s="140"/>
      <c r="Q22" s="140"/>
      <c r="R22" s="140"/>
      <c r="T22" s="175"/>
      <c r="U22" s="175"/>
      <c r="V22" s="175"/>
      <c r="W22" s="175"/>
      <c r="X22" s="175"/>
      <c r="Y22" s="175"/>
    </row>
    <row r="23" spans="1:25" ht="26.25" customHeight="1" x14ac:dyDescent="0.25">
      <c r="A23" s="70"/>
      <c r="B23" s="164"/>
      <c r="C23" s="184" t="str">
        <f>IF(G22&lt;&gt;"","Indtast årsforbrug af brændslet","")</f>
        <v/>
      </c>
      <c r="D23" s="176"/>
      <c r="E23" s="185"/>
      <c r="F23" s="179"/>
      <c r="G23" s="179"/>
      <c r="H23" s="179"/>
      <c r="I23" s="167"/>
      <c r="J23" s="70"/>
      <c r="K23" s="470"/>
      <c r="L23" s="470"/>
      <c r="M23" s="470"/>
      <c r="N23" s="470"/>
      <c r="O23" s="470"/>
      <c r="P23" s="140"/>
      <c r="Q23" s="140"/>
      <c r="R23" s="140"/>
      <c r="T23" s="175"/>
      <c r="U23" s="175"/>
      <c r="V23" s="175"/>
      <c r="W23" s="175"/>
      <c r="X23" s="175"/>
      <c r="Y23" s="175"/>
    </row>
    <row r="24" spans="1:25" ht="24.75" customHeight="1" x14ac:dyDescent="0.25">
      <c r="A24" s="70"/>
      <c r="B24" s="164"/>
      <c r="C24" s="186" t="s">
        <v>219</v>
      </c>
      <c r="D24" s="187"/>
      <c r="E24" s="185"/>
      <c r="F24" s="179"/>
      <c r="G24" s="573"/>
      <c r="H24" s="573"/>
      <c r="I24" s="167" t="str">
        <f>IF(OR(,G22=""),"",IF(G16="","",IF(O15="Naturgas","Nm3/år",IF(OR(O15="Gas-/dieselolie",O15="Fuelolie"),"l/år","kg/år"))))</f>
        <v/>
      </c>
      <c r="J24" s="70"/>
      <c r="K24" s="471"/>
      <c r="L24" s="471"/>
      <c r="M24" s="471"/>
      <c r="N24" s="471"/>
      <c r="O24" s="471"/>
      <c r="P24" s="140"/>
      <c r="Q24" s="70"/>
      <c r="R24" s="140"/>
      <c r="T24" s="175">
        <v>1</v>
      </c>
      <c r="U24" s="175"/>
      <c r="V24" s="175"/>
      <c r="W24" s="175"/>
      <c r="X24" s="175"/>
      <c r="Y24" s="175"/>
    </row>
    <row r="25" spans="1:25" ht="24.75" customHeight="1" x14ac:dyDescent="0.25">
      <c r="A25" s="70"/>
      <c r="B25" s="164"/>
      <c r="C25" s="184" t="str">
        <f>IFERROR(IF(G22=1,"",IF(G22=3,"2. års forbrug",IF(G22="",""))),"")</f>
        <v/>
      </c>
      <c r="D25" s="176"/>
      <c r="E25" s="176"/>
      <c r="F25" s="179"/>
      <c r="G25" s="564"/>
      <c r="H25" s="564"/>
      <c r="I25" s="167" t="str">
        <f>IF(G22=3,I24,"")</f>
        <v/>
      </c>
      <c r="J25" s="70"/>
      <c r="K25" s="70"/>
      <c r="L25" s="183"/>
      <c r="M25" s="183"/>
      <c r="N25" s="183"/>
      <c r="O25" s="183"/>
      <c r="P25" s="70"/>
      <c r="Q25" s="70"/>
      <c r="R25" s="140"/>
      <c r="T25" s="175">
        <v>3</v>
      </c>
      <c r="U25" s="175"/>
      <c r="V25" s="175"/>
      <c r="W25" s="175"/>
      <c r="X25" s="175"/>
      <c r="Y25" s="175"/>
    </row>
    <row r="26" spans="1:25" ht="24.75" customHeight="1" x14ac:dyDescent="0.25">
      <c r="A26" s="70"/>
      <c r="B26" s="164"/>
      <c r="C26" s="184" t="str">
        <f>IFERROR(IF(G22=1,"",IF(G22=3,"3. års forbrug","")),"")</f>
        <v/>
      </c>
      <c r="D26" s="176"/>
      <c r="E26" s="176"/>
      <c r="F26" s="179"/>
      <c r="G26" s="564"/>
      <c r="H26" s="564"/>
      <c r="I26" s="167" t="str">
        <f>IF(G22=3,I24,"")</f>
        <v/>
      </c>
      <c r="J26" s="70"/>
      <c r="K26" s="140"/>
      <c r="L26" s="183"/>
      <c r="M26" s="183"/>
      <c r="N26" s="183"/>
      <c r="O26" s="183"/>
      <c r="P26" s="70"/>
      <c r="Q26" s="70"/>
      <c r="R26" s="140"/>
      <c r="T26" s="175"/>
      <c r="U26" s="175"/>
      <c r="V26" s="175"/>
      <c r="W26" s="175"/>
      <c r="X26" s="175"/>
      <c r="Y26" s="175"/>
    </row>
    <row r="27" spans="1:25" ht="24.75" customHeight="1" x14ac:dyDescent="0.25">
      <c r="A27" s="70"/>
      <c r="B27" s="164"/>
      <c r="C27" s="214"/>
      <c r="D27" s="213"/>
      <c r="E27" s="213"/>
      <c r="F27" s="179"/>
      <c r="G27" s="215"/>
      <c r="H27" s="215"/>
      <c r="I27" s="167"/>
      <c r="J27" s="70"/>
      <c r="K27" s="182"/>
      <c r="L27" s="183"/>
      <c r="M27" s="183"/>
      <c r="N27" s="183"/>
      <c r="O27" s="183"/>
      <c r="P27" s="70"/>
      <c r="Q27" s="70"/>
      <c r="R27" s="140"/>
      <c r="T27" s="175">
        <f>IF(C25="",0,1)</f>
        <v>0</v>
      </c>
      <c r="U27" s="175"/>
      <c r="V27" s="175"/>
      <c r="W27" s="175"/>
      <c r="X27" s="175"/>
      <c r="Y27" s="175"/>
    </row>
    <row r="28" spans="1:25" ht="24.75" customHeight="1" x14ac:dyDescent="0.25">
      <c r="A28" s="70"/>
      <c r="B28" s="164" t="s">
        <v>321</v>
      </c>
      <c r="C28" s="214" t="s">
        <v>160</v>
      </c>
      <c r="D28" s="213"/>
      <c r="E28" s="213"/>
      <c r="F28" s="179"/>
      <c r="G28" s="574"/>
      <c r="H28" s="574"/>
      <c r="I28" s="167"/>
      <c r="J28" s="197">
        <f>COUNT(G24:H26)</f>
        <v>0</v>
      </c>
      <c r="K28" s="182"/>
      <c r="L28" s="183"/>
      <c r="M28" s="183"/>
      <c r="N28" s="183"/>
      <c r="O28" s="183"/>
      <c r="P28" s="70"/>
      <c r="Q28" s="70"/>
      <c r="R28" s="140"/>
      <c r="T28" s="175"/>
      <c r="U28" s="175"/>
      <c r="V28" s="175"/>
      <c r="W28" s="175"/>
      <c r="X28" s="175"/>
      <c r="Y28" s="175"/>
    </row>
    <row r="29" spans="1:25" ht="24.75" customHeight="1" x14ac:dyDescent="0.25">
      <c r="A29" s="70"/>
      <c r="B29" s="164"/>
      <c r="C29" s="214" t="str">
        <f>IF(G28="Ja","Hvornår er bygningen opført/senest renoveret?","")</f>
        <v/>
      </c>
      <c r="D29" s="213"/>
      <c r="E29" s="213"/>
      <c r="F29" s="179"/>
      <c r="G29" s="591"/>
      <c r="H29" s="591"/>
      <c r="I29" s="167"/>
      <c r="J29" s="197"/>
      <c r="K29" s="182"/>
      <c r="L29" s="183"/>
      <c r="M29" s="183"/>
      <c r="N29" s="183"/>
      <c r="O29" s="183"/>
      <c r="P29" s="70"/>
      <c r="Q29" s="70"/>
      <c r="R29" s="140"/>
      <c r="T29" s="175"/>
      <c r="U29" s="175"/>
      <c r="V29" s="175"/>
      <c r="W29" s="175"/>
      <c r="X29" s="175"/>
      <c r="Y29" s="175"/>
    </row>
    <row r="30" spans="1:25" ht="24.75" customHeight="1" x14ac:dyDescent="0.25">
      <c r="A30" s="70"/>
      <c r="B30" s="164"/>
      <c r="C30" s="226" t="str">
        <f>IF(G28="Ja","Indtast boligareal i m2 (skal fremgå af BBR)","")</f>
        <v/>
      </c>
      <c r="D30" s="225"/>
      <c r="E30" s="225"/>
      <c r="F30" s="179"/>
      <c r="G30" s="564"/>
      <c r="H30" s="564"/>
      <c r="I30" s="167"/>
      <c r="J30" s="197"/>
      <c r="K30" s="182"/>
      <c r="L30" s="183"/>
      <c r="M30" s="183"/>
      <c r="N30" s="183"/>
      <c r="O30" s="183"/>
      <c r="P30" s="70"/>
      <c r="Q30" s="70"/>
      <c r="R30" s="140"/>
      <c r="T30" s="175"/>
      <c r="U30" s="175"/>
      <c r="V30" s="175"/>
      <c r="W30" s="175"/>
      <c r="X30" s="175"/>
      <c r="Y30" s="175"/>
    </row>
    <row r="31" spans="1:25" ht="24.75" customHeight="1" x14ac:dyDescent="0.25">
      <c r="A31" s="70"/>
      <c r="B31" s="164"/>
      <c r="C31" s="210"/>
      <c r="D31" s="209"/>
      <c r="E31" s="209"/>
      <c r="F31" s="179"/>
      <c r="G31" s="322"/>
      <c r="H31" s="322"/>
      <c r="I31" s="167"/>
      <c r="J31" s="197"/>
      <c r="K31" s="182"/>
      <c r="L31" s="183"/>
      <c r="M31" s="183"/>
      <c r="N31" s="183"/>
      <c r="O31" s="183"/>
      <c r="P31" s="70"/>
      <c r="Q31" s="70"/>
      <c r="R31" s="140"/>
      <c r="T31" s="175"/>
      <c r="U31" s="175"/>
      <c r="V31" s="175"/>
      <c r="W31" s="175"/>
      <c r="X31" s="175"/>
      <c r="Y31" s="175"/>
    </row>
    <row r="32" spans="1:25" ht="24.75" customHeight="1" x14ac:dyDescent="0.25">
      <c r="A32" s="70"/>
      <c r="B32" s="174">
        <v>3</v>
      </c>
      <c r="C32" s="457" t="s">
        <v>140</v>
      </c>
      <c r="D32" s="194"/>
      <c r="E32" s="195"/>
      <c r="F32" s="195"/>
      <c r="G32" s="136"/>
      <c r="H32" s="136"/>
      <c r="I32" s="188"/>
      <c r="J32" s="197"/>
      <c r="K32" s="182"/>
      <c r="L32" s="183"/>
      <c r="M32" s="183"/>
      <c r="N32" s="183"/>
      <c r="O32" s="183"/>
      <c r="P32" s="70"/>
      <c r="Q32" s="70"/>
      <c r="R32" s="140"/>
      <c r="T32" s="175"/>
      <c r="U32" s="175"/>
      <c r="V32" s="175"/>
      <c r="W32" s="175"/>
      <c r="X32" s="175"/>
      <c r="Y32" s="175"/>
    </row>
    <row r="33" spans="1:25" ht="24.75" customHeight="1" x14ac:dyDescent="0.25">
      <c r="A33" s="70"/>
      <c r="B33" s="164" t="s">
        <v>107</v>
      </c>
      <c r="C33" s="593" t="s">
        <v>131</v>
      </c>
      <c r="D33" s="593"/>
      <c r="E33" s="593"/>
      <c r="F33" s="594"/>
      <c r="G33" s="576"/>
      <c r="H33" s="576"/>
      <c r="I33" s="188"/>
      <c r="J33" s="70"/>
      <c r="K33" s="182"/>
      <c r="L33" s="183"/>
      <c r="M33" s="183"/>
      <c r="N33" s="183"/>
      <c r="O33" s="183"/>
      <c r="P33" s="70"/>
      <c r="Q33" s="70"/>
      <c r="R33" s="140"/>
      <c r="T33" s="175"/>
      <c r="U33" s="175"/>
      <c r="V33" s="175"/>
      <c r="W33" s="175"/>
      <c r="X33" s="175"/>
      <c r="Y33" s="175"/>
    </row>
    <row r="34" spans="1:25" ht="24.75" customHeight="1" x14ac:dyDescent="0.25">
      <c r="A34" s="70"/>
      <c r="B34" s="164" t="str">
        <f>IF(C34="","","3.2")</f>
        <v/>
      </c>
      <c r="C34" s="184" t="str">
        <f>IF('Forbrugsberegner 1'!E119="Kedel","Varmeydelse (effekt i kW) på den nye forventede brændselskedel ","")</f>
        <v/>
      </c>
      <c r="D34" s="184"/>
      <c r="E34" s="184"/>
      <c r="F34" s="198"/>
      <c r="G34" s="570"/>
      <c r="H34" s="570"/>
      <c r="I34" s="167" t="str">
        <f>IF('Forbrugsberegner 1'!E119="Kedel","kW","")</f>
        <v/>
      </c>
      <c r="J34" s="70"/>
      <c r="K34" s="182"/>
      <c r="L34" s="183"/>
      <c r="M34" s="183"/>
      <c r="N34" s="183"/>
      <c r="O34" s="183"/>
      <c r="P34" s="70"/>
      <c r="Q34" s="70"/>
      <c r="R34" s="140"/>
      <c r="T34" s="175"/>
      <c r="U34" s="175"/>
      <c r="V34" s="175"/>
      <c r="W34" s="175"/>
      <c r="X34" s="175"/>
      <c r="Y34" s="175"/>
    </row>
    <row r="35" spans="1:25" ht="24.75" customHeight="1" x14ac:dyDescent="0.25">
      <c r="A35" s="70"/>
      <c r="B35" s="164" t="str">
        <f>IF(C35="","","3.3")</f>
        <v/>
      </c>
      <c r="C35" s="565" t="str">
        <f>IF('Forbrugsberegner 1'!E119="Kedel","Virkningsgrad/nyttevirkning på forventede ny kedel","")</f>
        <v/>
      </c>
      <c r="D35" s="565"/>
      <c r="E35" s="565"/>
      <c r="F35" s="566"/>
      <c r="G35" s="569"/>
      <c r="H35" s="569"/>
      <c r="I35" s="167" t="str">
        <f>IF('Forbrugsberegner 1'!E119="Kedel","%","")</f>
        <v/>
      </c>
      <c r="J35" s="70"/>
      <c r="K35" s="182"/>
      <c r="L35" s="183"/>
      <c r="M35" s="183"/>
      <c r="N35" s="183"/>
      <c r="O35" s="183"/>
      <c r="P35" s="70"/>
      <c r="Q35" s="70"/>
      <c r="R35" s="140"/>
      <c r="T35" s="175"/>
      <c r="U35" s="175"/>
      <c r="V35" s="175"/>
      <c r="W35" s="175"/>
      <c r="X35" s="175"/>
      <c r="Y35" s="175"/>
    </row>
    <row r="36" spans="1:25" ht="24.75" customHeight="1" x14ac:dyDescent="0.25">
      <c r="A36" s="70"/>
      <c r="B36" s="164" t="str">
        <f>IF(C36="","","3.4")</f>
        <v/>
      </c>
      <c r="C36" s="565" t="str">
        <f>IF('Forbrugsberegner 1'!E119="Kedel","Den forventede nye brændselskedels årsvirkningsgrad","")</f>
        <v/>
      </c>
      <c r="D36" s="565"/>
      <c r="E36" s="565"/>
      <c r="F36" s="565"/>
      <c r="G36" s="568" t="str">
        <f>IFERROR(IF(G35&lt;&gt;"",'Forbrugsberegner 1'!C103,""),"")</f>
        <v/>
      </c>
      <c r="H36" s="568"/>
      <c r="I36" s="149" t="str">
        <f>IF('Forbrugsberegner 1'!E119="Kedel","%","")</f>
        <v/>
      </c>
      <c r="J36" s="70"/>
      <c r="K36" s="182"/>
      <c r="L36" s="183"/>
      <c r="M36" s="183"/>
      <c r="N36" s="183"/>
      <c r="O36" s="183"/>
      <c r="P36" s="70"/>
      <c r="Q36" s="70"/>
      <c r="R36" s="140"/>
      <c r="T36" s="175"/>
      <c r="U36" s="175"/>
      <c r="V36" s="175"/>
      <c r="W36" s="175"/>
      <c r="X36" s="175"/>
      <c r="Y36" s="175"/>
    </row>
    <row r="37" spans="1:25" ht="24.75" customHeight="1" x14ac:dyDescent="0.25">
      <c r="A37" s="70"/>
      <c r="B37" s="164" t="str">
        <f>IF(G33="Varmepumpe","3.5","")</f>
        <v/>
      </c>
      <c r="C37" s="565" t="str">
        <f>IF(G33="Varmepumpe","SCOP-værdi på varmepumpe","")</f>
        <v/>
      </c>
      <c r="D37" s="565"/>
      <c r="E37" s="565"/>
      <c r="F37" s="566"/>
      <c r="G37" s="567"/>
      <c r="H37" s="567"/>
      <c r="I37" s="149"/>
      <c r="J37" s="70"/>
      <c r="K37" s="182"/>
      <c r="L37" s="183"/>
      <c r="M37" s="183"/>
      <c r="N37" s="183"/>
      <c r="O37" s="183"/>
      <c r="P37" s="70"/>
      <c r="Q37" s="70"/>
      <c r="R37" s="140"/>
      <c r="T37" s="175"/>
      <c r="U37" s="175"/>
      <c r="V37" s="175"/>
      <c r="W37" s="175"/>
      <c r="X37" s="175"/>
      <c r="Y37" s="175"/>
    </row>
    <row r="38" spans="1:25" ht="24.75" customHeight="1" x14ac:dyDescent="0.25">
      <c r="A38" s="70"/>
      <c r="B38" s="592"/>
      <c r="C38" s="592"/>
      <c r="D38" s="592"/>
      <c r="E38" s="592"/>
      <c r="F38" s="592"/>
      <c r="G38" s="592"/>
      <c r="H38" s="592"/>
      <c r="I38" s="212"/>
      <c r="J38" s="70"/>
      <c r="K38" s="182"/>
      <c r="L38" s="189"/>
      <c r="M38" s="189"/>
      <c r="N38" s="189"/>
      <c r="O38" s="189"/>
      <c r="P38" s="70"/>
      <c r="Q38" s="70"/>
      <c r="R38" s="190"/>
      <c r="S38" s="191"/>
      <c r="T38" s="191"/>
      <c r="U38" s="191"/>
      <c r="V38" s="191"/>
      <c r="W38" s="192"/>
      <c r="X38" s="192"/>
      <c r="Y38" s="193" t="str">
        <f>IF(G16="Naturgas","Nm3/år",IF(G16="Olie","l/år","kg/år"))</f>
        <v>kg/år</v>
      </c>
    </row>
    <row r="39" spans="1:25" ht="24.75" customHeight="1" x14ac:dyDescent="0.25">
      <c r="A39" s="70"/>
      <c r="B39" s="592"/>
      <c r="C39" s="592"/>
      <c r="D39" s="592"/>
      <c r="E39" s="592"/>
      <c r="F39" s="592"/>
      <c r="G39" s="592"/>
      <c r="H39" s="592"/>
      <c r="I39" s="212"/>
      <c r="J39" s="70"/>
      <c r="K39" s="70"/>
      <c r="L39" s="70"/>
      <c r="M39" s="70"/>
      <c r="N39" s="70"/>
      <c r="O39" s="70"/>
      <c r="P39" s="70"/>
      <c r="Q39" s="70"/>
      <c r="R39" s="196"/>
    </row>
    <row r="40" spans="1:25" ht="24.75" customHeight="1" x14ac:dyDescent="0.25">
      <c r="A40" s="70"/>
      <c r="B40" s="472"/>
      <c r="C40" s="472"/>
      <c r="D40" s="472"/>
      <c r="E40" s="472"/>
      <c r="F40" s="472"/>
      <c r="G40" s="472"/>
      <c r="H40" s="472"/>
      <c r="I40" s="472"/>
      <c r="J40" s="70"/>
      <c r="K40" s="182"/>
      <c r="L40" s="189"/>
      <c r="M40" s="189"/>
      <c r="N40" s="189"/>
      <c r="O40" s="189"/>
      <c r="P40" s="70"/>
      <c r="Q40" s="70"/>
      <c r="R40" s="196"/>
    </row>
    <row r="41" spans="1:25" ht="24.75" customHeight="1" x14ac:dyDescent="0.25">
      <c r="A41" s="70"/>
      <c r="B41" s="151"/>
      <c r="C41" s="151"/>
      <c r="D41" s="151"/>
      <c r="E41" s="151"/>
      <c r="F41" s="151"/>
      <c r="G41" s="151"/>
      <c r="H41" s="151"/>
      <c r="I41" s="151"/>
      <c r="J41" s="197">
        <f>G33</f>
        <v>0</v>
      </c>
      <c r="K41" s="182"/>
      <c r="L41" s="189"/>
      <c r="M41" s="189"/>
      <c r="N41" s="189"/>
      <c r="O41" s="189"/>
      <c r="P41" s="70"/>
      <c r="Q41" s="70"/>
      <c r="R41" s="196"/>
    </row>
    <row r="42" spans="1:25" ht="24.75" customHeight="1" x14ac:dyDescent="0.25">
      <c r="A42" s="70"/>
      <c r="B42" s="197" t="e">
        <f>IF(OR(#REF!="Fjernvarme",#REF!="Elkedel"),1,0)</f>
        <v>#REF!</v>
      </c>
      <c r="C42" s="197" t="e">
        <f>IF(OR(#REF!="Fjernvarme",#REF!="Elkedel"),1,0)</f>
        <v>#REF!</v>
      </c>
      <c r="D42" s="197">
        <f>IF(OR(A35="Fjernvarme",A35="Elkedel"),1,0)</f>
        <v>0</v>
      </c>
      <c r="E42" s="197">
        <f t="shared" ref="E42:I42" si="0">IF(OR(B33="Fjernvarme",B33="Elkedel"),1,0)</f>
        <v>0</v>
      </c>
      <c r="F42" s="197">
        <f t="shared" si="0"/>
        <v>0</v>
      </c>
      <c r="G42" s="197">
        <f t="shared" si="0"/>
        <v>0</v>
      </c>
      <c r="H42" s="197">
        <f t="shared" si="0"/>
        <v>0</v>
      </c>
      <c r="I42" s="197">
        <f t="shared" si="0"/>
        <v>0</v>
      </c>
      <c r="J42" s="197">
        <f>IF(OR(J41="Fyringsolie",J41="Naturgas",J41="Kul og koks",J41="Flis",J41="Træpiller",J41="Halm",J41="Kul/koks"),1,0)</f>
        <v>0</v>
      </c>
      <c r="K42" s="182"/>
      <c r="L42" s="189"/>
      <c r="M42" s="189"/>
      <c r="N42" s="189"/>
      <c r="O42" s="499"/>
      <c r="P42" s="199"/>
      <c r="Q42" s="199"/>
      <c r="R42" s="196"/>
    </row>
    <row r="43" spans="1:25" ht="24.75" customHeight="1" x14ac:dyDescent="0.25">
      <c r="A43" s="70"/>
      <c r="B43" s="197" t="e">
        <f>IF(OR(#REF!="Fjernvarme",#REF!="Elkedel"),1,0)</f>
        <v>#REF!</v>
      </c>
      <c r="C43" s="197" t="e">
        <f>IF(OR(#REF!="Fjernvarme",#REF!="Elkedel"),1,0)</f>
        <v>#REF!</v>
      </c>
      <c r="D43" s="197">
        <f t="shared" ref="D43:I43" si="1">IF(OR(A32="Fjernvarme",A32="Elkedel"),1,0)</f>
        <v>0</v>
      </c>
      <c r="E43" s="197">
        <f t="shared" si="1"/>
        <v>0</v>
      </c>
      <c r="F43" s="197">
        <f t="shared" si="1"/>
        <v>0</v>
      </c>
      <c r="G43" s="197">
        <f t="shared" si="1"/>
        <v>0</v>
      </c>
      <c r="H43" s="197">
        <f t="shared" si="1"/>
        <v>0</v>
      </c>
      <c r="I43" s="197">
        <f t="shared" si="1"/>
        <v>0</v>
      </c>
      <c r="J43" s="197">
        <f>IF(OR(J41="Fyringsolie",J41="Naturgas",J41="Kul og koks",J41="Flis",J41="Træpiller",J41="Halm",J41="Kul/koks"),1,0)</f>
        <v>0</v>
      </c>
      <c r="K43" s="182"/>
      <c r="L43" s="189"/>
      <c r="M43" s="189"/>
      <c r="N43" s="189"/>
      <c r="O43" s="189"/>
      <c r="P43" s="70"/>
      <c r="Q43" s="200" t="s">
        <v>27</v>
      </c>
      <c r="R43" s="199"/>
    </row>
    <row r="44" spans="1:25" ht="24.75" customHeight="1" x14ac:dyDescent="0.25">
      <c r="A44" s="197" t="e">
        <f>IF(OR(#REF!="Fjernvarme",#REF!="Elkedel"),1,0)</f>
        <v>#REF!</v>
      </c>
      <c r="B44" s="197" t="e">
        <f>IF(OR(#REF!="Fjernvarme",#REF!="Elkedel"),1,0)</f>
        <v>#REF!</v>
      </c>
      <c r="C44" s="197" t="e">
        <f>IF(OR(#REF!="Fjernvarme",#REF!="Elkedel"),1,0)</f>
        <v>#REF!</v>
      </c>
      <c r="D44" s="197">
        <f t="shared" ref="D44:I44" si="2">IF(OR(A33="Fjernvarme",A33="Elkedel"),1,0)</f>
        <v>0</v>
      </c>
      <c r="E44" s="197">
        <f t="shared" si="2"/>
        <v>0</v>
      </c>
      <c r="F44" s="197">
        <f t="shared" si="2"/>
        <v>0</v>
      </c>
      <c r="G44" s="197">
        <f t="shared" si="2"/>
        <v>0</v>
      </c>
      <c r="H44" s="197">
        <f t="shared" si="2"/>
        <v>0</v>
      </c>
      <c r="I44" s="197">
        <f t="shared" si="2"/>
        <v>0</v>
      </c>
      <c r="J44" s="197">
        <f>IF(OR(G33="Fjernvarme",G33="Elkedel"),1,0)</f>
        <v>0</v>
      </c>
      <c r="K44" s="199"/>
      <c r="L44" s="199"/>
      <c r="M44" s="199"/>
      <c r="N44" s="199"/>
      <c r="O44" s="199"/>
      <c r="P44" s="199"/>
      <c r="Q44" s="199"/>
      <c r="R44" s="199"/>
    </row>
    <row r="45" spans="1:25" x14ac:dyDescent="0.25">
      <c r="A45" s="141"/>
      <c r="B45" s="141"/>
      <c r="C45" s="141"/>
      <c r="D45" s="141"/>
      <c r="E45" s="141"/>
      <c r="F45" s="141"/>
      <c r="G45" s="141"/>
      <c r="H45" s="141"/>
      <c r="I45" s="141"/>
      <c r="J45" s="141"/>
      <c r="K45" s="141"/>
      <c r="L45" s="141"/>
      <c r="M45" s="141"/>
      <c r="N45" s="141"/>
      <c r="O45" s="141"/>
      <c r="P45" s="141"/>
      <c r="Q45" s="141"/>
      <c r="R45" s="141"/>
    </row>
    <row r="46" spans="1:25" x14ac:dyDescent="0.25">
      <c r="A46" s="141"/>
      <c r="B46" s="141"/>
      <c r="C46" s="141"/>
      <c r="D46" s="141"/>
      <c r="E46" s="141"/>
      <c r="F46" s="141"/>
      <c r="G46" s="141"/>
      <c r="H46" s="141"/>
      <c r="I46" s="141"/>
      <c r="J46" s="141"/>
      <c r="K46" s="141"/>
      <c r="L46" s="141"/>
      <c r="M46" s="141"/>
      <c r="N46" s="141"/>
      <c r="O46" s="141"/>
      <c r="P46" s="141"/>
      <c r="Q46" s="141"/>
      <c r="R46" s="141"/>
    </row>
    <row r="47" spans="1:25" x14ac:dyDescent="0.25">
      <c r="A47" s="141"/>
      <c r="B47" s="141"/>
      <c r="C47" s="141"/>
      <c r="D47" s="141"/>
      <c r="E47" s="141"/>
      <c r="F47" s="141"/>
      <c r="G47" s="141"/>
      <c r="H47" s="141"/>
      <c r="I47" s="141"/>
      <c r="J47" s="141"/>
      <c r="K47" s="141"/>
      <c r="L47" s="141"/>
      <c r="M47" s="141"/>
      <c r="N47" s="141"/>
      <c r="O47" s="141"/>
      <c r="P47" s="141"/>
      <c r="Q47" s="141"/>
      <c r="R47" s="141"/>
    </row>
    <row r="48" spans="1:25" x14ac:dyDescent="0.25">
      <c r="A48" s="141"/>
      <c r="B48" s="141"/>
      <c r="C48" s="141"/>
      <c r="D48" s="141"/>
      <c r="E48" s="141"/>
      <c r="F48" s="141"/>
      <c r="G48" s="141"/>
      <c r="H48" s="141"/>
      <c r="I48" s="141"/>
      <c r="J48" s="141"/>
      <c r="K48" s="141"/>
      <c r="L48" s="141"/>
      <c r="M48" s="141"/>
      <c r="N48" s="141"/>
      <c r="O48" s="141"/>
      <c r="P48" s="141"/>
      <c r="Q48" s="141"/>
      <c r="R48" s="141"/>
    </row>
    <row r="49" spans="1:18" x14ac:dyDescent="0.25">
      <c r="A49" s="141"/>
      <c r="B49" s="141"/>
      <c r="C49" s="141"/>
      <c r="D49" s="141"/>
      <c r="E49" s="141"/>
      <c r="F49" s="141"/>
      <c r="G49" s="141"/>
      <c r="H49" s="141"/>
      <c r="I49" s="141"/>
      <c r="J49" s="141"/>
      <c r="K49" s="141"/>
      <c r="L49" s="141"/>
      <c r="M49" s="141"/>
      <c r="N49" s="141"/>
      <c r="O49" s="141"/>
      <c r="P49" s="141"/>
      <c r="Q49" s="141"/>
      <c r="R49" s="141"/>
    </row>
    <row r="50" spans="1:18" x14ac:dyDescent="0.25">
      <c r="A50" s="141"/>
      <c r="B50" s="141"/>
      <c r="C50" s="141"/>
      <c r="D50" s="141"/>
      <c r="E50" s="141"/>
      <c r="F50" s="141"/>
      <c r="G50" s="141"/>
      <c r="H50" s="141"/>
      <c r="I50" s="141"/>
      <c r="J50" s="141"/>
      <c r="K50" s="141"/>
      <c r="L50" s="141"/>
      <c r="M50" s="141"/>
      <c r="N50" s="141"/>
      <c r="O50" s="141"/>
      <c r="P50" s="141"/>
      <c r="Q50" s="141"/>
      <c r="R50" s="141"/>
    </row>
    <row r="51" spans="1:18" x14ac:dyDescent="0.25">
      <c r="A51" s="141"/>
      <c r="B51" s="141"/>
      <c r="C51" s="141"/>
      <c r="D51" s="141"/>
      <c r="E51" s="141"/>
      <c r="F51" s="141"/>
      <c r="G51" s="141"/>
      <c r="H51" s="141"/>
      <c r="I51" s="141"/>
      <c r="J51" s="141"/>
      <c r="K51" s="141"/>
      <c r="L51" s="141"/>
      <c r="M51" s="141"/>
      <c r="N51" s="141"/>
      <c r="O51" s="141"/>
      <c r="P51" s="141"/>
      <c r="Q51" s="141"/>
      <c r="R51" s="141"/>
    </row>
    <row r="52" spans="1:18" x14ac:dyDescent="0.25">
      <c r="A52" s="141"/>
      <c r="B52" s="141"/>
      <c r="C52" s="141"/>
      <c r="D52" s="141"/>
      <c r="E52" s="141"/>
      <c r="F52" s="141"/>
      <c r="G52" s="141"/>
      <c r="H52" s="141"/>
      <c r="I52" s="141"/>
      <c r="J52" s="141"/>
      <c r="K52" s="141"/>
      <c r="L52" s="141"/>
      <c r="M52" s="141"/>
      <c r="N52" s="141"/>
      <c r="O52" s="141"/>
      <c r="P52" s="141"/>
      <c r="Q52" s="141"/>
      <c r="R52" s="141"/>
    </row>
    <row r="53" spans="1:18" x14ac:dyDescent="0.25">
      <c r="A53" s="141"/>
      <c r="J53" s="141"/>
      <c r="K53" s="141"/>
      <c r="L53" s="141"/>
      <c r="M53" s="141"/>
      <c r="N53" s="141"/>
      <c r="O53" s="141"/>
      <c r="P53" s="141"/>
      <c r="Q53" s="141"/>
      <c r="R53" s="141"/>
    </row>
    <row r="54" spans="1:18" x14ac:dyDescent="0.25">
      <c r="A54" s="141"/>
      <c r="J54" s="141"/>
      <c r="K54" s="141"/>
      <c r="L54" s="141"/>
      <c r="M54" s="141"/>
      <c r="N54" s="141"/>
      <c r="O54" s="141"/>
      <c r="P54" s="141"/>
      <c r="Q54" s="141"/>
      <c r="R54" s="141"/>
    </row>
    <row r="55" spans="1:18" x14ac:dyDescent="0.25">
      <c r="A55" s="141"/>
      <c r="J55" s="141"/>
      <c r="R55" s="141"/>
    </row>
  </sheetData>
  <sheetProtection algorithmName="SHA-512" hashValue="ohliMN8m05pj/KHfsWhu0/CxD1fTQu6zlSVB00XaUYKe9guKWyWwJbwxb2OItlwgt5eTXd9Noj122wgbYcfIZw==" saltValue="5lin4XduGC2a14qyiHVBNw==" spinCount="100000" sheet="1" selectLockedCells="1"/>
  <dataConsolidate/>
  <mergeCells count="33">
    <mergeCell ref="G19:H19"/>
    <mergeCell ref="C35:F35"/>
    <mergeCell ref="G30:H30"/>
    <mergeCell ref="G29:H29"/>
    <mergeCell ref="B39:H39"/>
    <mergeCell ref="C33:F33"/>
    <mergeCell ref="G33:H33"/>
    <mergeCell ref="B38:H38"/>
    <mergeCell ref="C19:F19"/>
    <mergeCell ref="B1:C2"/>
    <mergeCell ref="D1:E2"/>
    <mergeCell ref="B6:L7"/>
    <mergeCell ref="C8:L8"/>
    <mergeCell ref="C11:L11"/>
    <mergeCell ref="B14:I14"/>
    <mergeCell ref="G16:H16"/>
    <mergeCell ref="C17:F17"/>
    <mergeCell ref="G17:H17"/>
    <mergeCell ref="G18:H18"/>
    <mergeCell ref="C18:F18"/>
    <mergeCell ref="K21:N21"/>
    <mergeCell ref="G25:H25"/>
    <mergeCell ref="G26:H26"/>
    <mergeCell ref="C37:F37"/>
    <mergeCell ref="G37:H37"/>
    <mergeCell ref="G36:H36"/>
    <mergeCell ref="C36:F36"/>
    <mergeCell ref="G35:H35"/>
    <mergeCell ref="G34:H34"/>
    <mergeCell ref="C22:E22"/>
    <mergeCell ref="G22:H22"/>
    <mergeCell ref="G24:H24"/>
    <mergeCell ref="G28:H28"/>
  </mergeCells>
  <conditionalFormatting sqref="J13:K13">
    <cfRule type="iconSet" priority="52">
      <iconSet iconSet="3Symbols2">
        <cfvo type="percent" val="0"/>
        <cfvo type="percent" val="33"/>
        <cfvo type="percent" val="67"/>
      </iconSet>
    </cfRule>
  </conditionalFormatting>
  <conditionalFormatting sqref="G37:H37">
    <cfRule type="expression" dxfId="170" priority="2">
      <formula>$G$33="Varmepumpe"</formula>
    </cfRule>
    <cfRule type="expression" dxfId="169" priority="49">
      <formula>$G$33="Varmepumpe"</formula>
    </cfRule>
  </conditionalFormatting>
  <conditionalFormatting sqref="G34:H36">
    <cfRule type="expression" dxfId="168" priority="12">
      <formula>$G$33="Elkedel"</formula>
    </cfRule>
    <cfRule type="expression" dxfId="167" priority="44">
      <formula>$G$33="Fjernvarme"</formula>
    </cfRule>
  </conditionalFormatting>
  <conditionalFormatting sqref="G19:H19">
    <cfRule type="expression" dxfId="166" priority="40">
      <formula>#REF!="Ja"</formula>
    </cfRule>
    <cfRule type="expression" dxfId="165" priority="41">
      <formula>#REF!="Nej"</formula>
    </cfRule>
  </conditionalFormatting>
  <conditionalFormatting sqref="G35:H37">
    <cfRule type="expression" dxfId="164" priority="39">
      <formula>$G$33="Varmepumpe"</formula>
    </cfRule>
  </conditionalFormatting>
  <conditionalFormatting sqref="G35:H36">
    <cfRule type="expression" dxfId="163" priority="37">
      <formula>$J$42=1</formula>
    </cfRule>
  </conditionalFormatting>
  <conditionalFormatting sqref="G34:H34">
    <cfRule type="expression" dxfId="162" priority="36">
      <formula>$J$43=1</formula>
    </cfRule>
  </conditionalFormatting>
  <conditionalFormatting sqref="G34:H37">
    <cfRule type="expression" dxfId="161" priority="33">
      <formula>$G$33=""</formula>
    </cfRule>
  </conditionalFormatting>
  <conditionalFormatting sqref="G33:H33">
    <cfRule type="expression" dxfId="160" priority="32">
      <formula>$G$33=""</formula>
    </cfRule>
  </conditionalFormatting>
  <conditionalFormatting sqref="G24:H24">
    <cfRule type="expression" dxfId="159" priority="23">
      <formula>AND(#REF!="Januar",$G$22=1)</formula>
    </cfRule>
  </conditionalFormatting>
  <conditionalFormatting sqref="G25:H26">
    <cfRule type="expression" dxfId="158" priority="22">
      <formula>$G$22=3</formula>
    </cfRule>
  </conditionalFormatting>
  <conditionalFormatting sqref="G28:H28">
    <cfRule type="expression" dxfId="157" priority="7">
      <formula>$G$28=$G$28</formula>
    </cfRule>
  </conditionalFormatting>
  <conditionalFormatting sqref="G29:H30">
    <cfRule type="expression" dxfId="156" priority="5">
      <formula>$G$28="Ja"</formula>
    </cfRule>
  </conditionalFormatting>
  <dataValidations xWindow="1029" yWindow="399" count="10">
    <dataValidation type="list" allowBlank="1" showInputMessage="1" showErrorMessage="1" sqref="G22:H22">
      <formula1>$T$24:$T$25</formula1>
    </dataValidation>
    <dataValidation type="whole" allowBlank="1" showInputMessage="1" showErrorMessage="1" error="Kedlens varmeydelse må ikke være større end 1000 kW." sqref="G34:H34">
      <formula1>0</formula1>
      <formula2>1000</formula2>
    </dataValidation>
    <dataValidation type="whole" allowBlank="1" showInputMessage="1" showErrorMessage="1" prompt="Den nye virkningsgrad  kan f.eks. findes i kedlens datablad. Hvis der ikke er valgt en specifik kedel til efter-situation kan normvirkningsgraderne fra tabel 2 i vejledningen benyttes" sqref="G35:H35">
      <formula1>50</formula1>
      <formula2>105</formula2>
    </dataValidation>
    <dataValidation type="decimal" allowBlank="1" showInputMessage="1" showErrorMessage="1" error="Kedlens varmeydelse må ikke være større end 1000 kW." prompt="Indtast effekt/varmeydelse på kedlen/ kaloriferen. Denne kan typisk findes på kedlens mærkeplade." sqref="G18:H18">
      <formula1>0</formula1>
      <formula2>1000</formula2>
    </dataValidation>
    <dataValidation type="whole" allowBlank="1" showInputMessage="1" showErrorMessage="1" prompt="Indsæt bygningsåret eller seneste renoveret år, som fremgår af BBR" sqref="G29:H29">
      <formula1>1600</formula1>
      <formula2>2022</formula2>
    </dataValidation>
    <dataValidation type="whole" allowBlank="1" showInputMessage="1" showErrorMessage="1" prompt="Indsæt boligarealet, som fremgår af BBR" sqref="G30:H30">
      <formula1>0</formula1>
      <formula2>10000</formula2>
    </dataValidation>
    <dataValidation allowBlank="1" showInputMessage="1" showErrorMessage="1" prompt="SCOP kan findes i datablad for varmepumpe eller i tabel 2 i vejledningen. Hvis varmen afsættes i gulvarmesystem vælges SCOP ved 30 grader ellers vælges SCOP ved 60 grader" sqref="G37:H37"/>
    <dataValidation allowBlank="1" showInputMessage="1" showErrorMessage="1" prompt="Vælg samme energitype i ansøgningsskemaet " sqref="O15"/>
    <dataValidation allowBlank="1" showInputMessage="1" showErrorMessage="1" prompt="Energiforbruget, som skal indtastes i ansøgningsskemaet " sqref="O16"/>
    <dataValidation allowBlank="1" showInputMessage="1" showErrorMessage="1" prompt="Det er energitypen, som skal indskrives i ansøgningsportalen" sqref="O18"/>
  </dataValidations>
  <hyperlinks>
    <hyperlink ref="Q43" location="Forside!A1" display="Retur"/>
    <hyperlink ref="B1:C2" location="Forside!A1" display="Forside"/>
  </hyperlinks>
  <pageMargins left="0.70866141732283472" right="0.70866141732283472" top="0.74803149606299213" bottom="0.74803149606299213" header="0.31496062992125984" footer="0.31496062992125984"/>
  <pageSetup paperSize="9" scale="37" orientation="landscape" horizontalDpi="1200" verticalDpi="1200" r:id="rId1"/>
  <drawing r:id="rId2"/>
  <legacyDrawing r:id="rId3"/>
  <oleObjects>
    <mc:AlternateContent xmlns:mc="http://schemas.openxmlformats.org/markup-compatibility/2006">
      <mc:Choice Requires="x14">
        <oleObject progId="AcroExch.Document.DC" dvAspect="DVASPECT_ICON" shapeId="3088" r:id="rId4">
          <objectPr defaultSize="0" autoPict="0" r:id="rId5">
            <anchor moveWithCells="1">
              <from>
                <xdr:col>15</xdr:col>
                <xdr:colOff>361950</xdr:colOff>
                <xdr:row>40</xdr:row>
                <xdr:rowOff>133350</xdr:rowOff>
              </from>
              <to>
                <xdr:col>17</xdr:col>
                <xdr:colOff>47625</xdr:colOff>
                <xdr:row>43</xdr:row>
                <xdr:rowOff>171450</xdr:rowOff>
              </to>
            </anchor>
          </objectPr>
        </oleObject>
      </mc:Choice>
      <mc:Fallback>
        <oleObject progId="AcroExch.Document.DC" dvAspect="DVASPECT_ICON" shapeId="3088"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50" id="{A16BA56F-E1F8-4987-A3DC-B9630847C6ED}">
            <x14:iconSet iconSet="3Symbols2" custom="1">
              <x14:cfvo type="percent">
                <xm:f>0</xm:f>
              </x14:cfvo>
              <x14:cfvo type="num">
                <xm:f>-0.5</xm:f>
              </x14:cfvo>
              <x14:cfvo type="num">
                <xm:f>0.5</xm:f>
              </x14:cfvo>
              <x14:cfIcon iconSet="3Symbols2" iconId="0"/>
              <x14:cfIcon iconSet="3Symbols2" iconId="1"/>
              <x14:cfIcon iconSet="3Symbols2" iconId="2"/>
            </x14:iconSet>
          </x14:cfRule>
          <xm:sqref>I12</xm:sqref>
        </x14:conditionalFormatting>
        <x14:conditionalFormatting xmlns:xm="http://schemas.microsoft.com/office/excel/2006/main">
          <x14:cfRule type="iconSet" priority="55" id="{FE58997F-D508-444B-8234-B549D898311A}">
            <x14:iconSet iconSet="3Symbols2" custom="1">
              <x14:cfvo type="percent">
                <xm:f>0</xm:f>
              </x14:cfvo>
              <x14:cfvo type="num">
                <xm:f>-0.5</xm:f>
              </x14:cfvo>
              <x14:cfvo type="num">
                <xm:f>0.5</xm:f>
              </x14:cfvo>
              <x14:cfIcon iconSet="3Symbols2" iconId="0"/>
              <x14:cfIcon iconSet="3Symbols2" iconId="1"/>
              <x14:cfIcon iconSet="3Symbols2" iconId="2"/>
            </x14:iconSet>
          </x14:cfRule>
          <xm:sqref>O8:O11</xm:sqref>
        </x14:conditionalFormatting>
        <x14:conditionalFormatting xmlns:xm="http://schemas.microsoft.com/office/excel/2006/main">
          <x14:cfRule type="expression" priority="4" id="{86A7D5D4-2830-418B-A7D5-8709B4E97451}">
            <xm:f>'Forbrugsberegner 1'!$E$119="Kedel"</xm:f>
            <x14:dxf>
              <font>
                <color theme="1"/>
              </font>
              <fill>
                <patternFill>
                  <bgColor rgb="FFFFFF00"/>
                </patternFill>
              </fill>
              <border>
                <left style="thin">
                  <color auto="1"/>
                </left>
                <right style="thin">
                  <color auto="1"/>
                </right>
                <top style="thin">
                  <color auto="1"/>
                </top>
                <bottom style="thin">
                  <color auto="1"/>
                </bottom>
                <vertical/>
                <horizontal/>
              </border>
            </x14:dxf>
          </x14:cfRule>
          <xm:sqref>G34:H35</xm:sqref>
        </x14:conditionalFormatting>
        <x14:conditionalFormatting xmlns:xm="http://schemas.microsoft.com/office/excel/2006/main">
          <x14:cfRule type="expression" priority="3" id="{A8BDB14B-3A9F-4B59-A4FB-3241859EC8FC}">
            <xm:f>'Forbrugsberegner 1'!$E$119="Kedel"</xm:f>
            <x14:dxf>
              <font>
                <color theme="1"/>
              </font>
              <fill>
                <patternFill>
                  <bgColor theme="2"/>
                </patternFill>
              </fill>
              <border>
                <left style="thin">
                  <color auto="1"/>
                </left>
                <right style="thin">
                  <color auto="1"/>
                </right>
                <top style="thin">
                  <color auto="1"/>
                </top>
                <bottom style="thin">
                  <color auto="1"/>
                </bottom>
              </border>
            </x14:dxf>
          </x14:cfRule>
          <xm:sqref>G36:H36</xm:sqref>
        </x14:conditionalFormatting>
      </x14:conditionalFormattings>
    </ext>
    <ext xmlns:x14="http://schemas.microsoft.com/office/spreadsheetml/2009/9/main" uri="{CCE6A557-97BC-4b89-ADB6-D9C93CAAB3DF}">
      <x14:dataValidations xmlns:xm="http://schemas.microsoft.com/office/excel/2006/main" xWindow="1029" yWindow="399" count="9">
        <x14:dataValidation type="list" allowBlank="1" showInputMessage="1" showErrorMessage="1" prompt="Indtast hvilken type af varmeforsyning, som ønskes at udskiftes til ">
          <x14:formula1>
            <xm:f>'Forbrugsberegner 1'!$E$113:$E$117</xm:f>
          </x14:formula1>
          <xm:sqref>G33:H33</xm:sqref>
        </x14:dataValidation>
        <x14:dataValidation type="list" allowBlank="1" showInputMessage="1" showErrorMessage="1">
          <x14:formula1>
            <xm:f>Nøgletal!$E$16:$E$17</xm:f>
          </x14:formula1>
          <xm:sqref>G28:H28</xm:sqref>
        </x14:dataValidation>
        <x14:dataValidation type="list" allowBlank="1" showInputMessage="1" showErrorMessage="1" prompt="Indtast nuværende kalorifer/ kedel.">
          <x14:formula1>
            <xm:f>'Forbrugsberegner 1'!$J$94:$J$99</xm:f>
          </x14:formula1>
          <xm:sqref>G16:H16</xm:sqref>
        </x14:dataValidation>
        <x14:dataValidation type="list" allowBlank="1" showInputMessage="1" showErrorMessage="1">
          <x14:formula1>
            <xm:f>'Forbrugsberegner 1'!$H$1:$H$2</xm:f>
          </x14:formula1>
          <xm:sqref>M8:M11</xm:sqref>
        </x14:dataValidation>
        <x14:dataValidation type="whole" operator="lessThanOrEqual" allowBlank="1" showInputMessage="1" showErrorMessage="1" error="Brændselsforbruget kan ikke være højere end kedlens nominelle varmeydelse over et år.">
          <x14:formula1>
            <xm:f>'Forbrugsberegner 1'!C99</xm:f>
          </x14:formula1>
          <xm:sqref>G31:H31</xm:sqref>
        </x14:dataValidation>
        <x14:dataValidation type="whole" operator="lessThanOrEqual" allowBlank="1" showInputMessage="1" showErrorMessage="1" error="Brændselsforbruget kan ikke være højere end kedlens nominelle brændselsforbrug over et år." prompt="Her indtastes kedlens brændsels-forbrug. Særligt for naturgas: Her skal det regulerede forbrug benyttes.">
          <x14:formula1>
            <xm:f>'Forbrugsberegner 1'!C98</xm:f>
          </x14:formula1>
          <xm:sqref>G24:H24</xm:sqref>
        </x14:dataValidation>
        <x14:dataValidation type="whole" operator="lessThanOrEqual" allowBlank="1" showInputMessage="1" showErrorMessage="1" error="Brændselsforbruget kan ikke være højere end kedlens nominelle varmeydelse over et år.">
          <x14:formula1>
            <xm:f>'Forbrugsberegner 1'!C98</xm:f>
          </x14:formula1>
          <xm:sqref>G25:H25</xm:sqref>
        </x14:dataValidation>
        <x14:dataValidation type="whole" operator="lessThanOrEqual" allowBlank="1" showInputMessage="1" showErrorMessage="1" error="Brændselsforbruget kan ikke være højere end kedlens nominelle varmeydelse over et år.">
          <x14:formula1>
            <xm:f>'Forbrugsberegner 1'!C98</xm:f>
          </x14:formula1>
          <xm:sqref>G26:H27</xm:sqref>
        </x14:dataValidation>
        <x14:dataValidation type="whole" allowBlank="1" showInputMessage="1" showErrorMessage="1" error="Kedlen skal være fra perioden 1950-2020" prompt="Indtast årgang for eksisterende kedel/ kalorifer. Årstallet kan typisk findes på kedlens mærkeplade. Hvis ansøger har to kedler eller kalorifer med samme brændsel kan en gennemsnit af årstallet benyttes">
          <x14:formula1>
            <xm:f>1950</xm:f>
          </x14:formula1>
          <x14:formula2>
            <xm:f>'Forbrugsberegner 1'!C17-2</xm:f>
          </x14:formula2>
          <xm:sqref>G17:H17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U55"/>
  <sheetViews>
    <sheetView topLeftCell="A8" zoomScale="70" zoomScaleNormal="70" workbookViewId="0">
      <selection activeCell="M8" sqref="M8"/>
    </sheetView>
  </sheetViews>
  <sheetFormatPr defaultColWidth="9.140625" defaultRowHeight="15" x14ac:dyDescent="0.25"/>
  <cols>
    <col min="1" max="1" width="22.42578125" style="201" customWidth="1"/>
    <col min="2" max="2" width="7.42578125" style="201" customWidth="1"/>
    <col min="3" max="3" width="11.7109375" style="201" bestFit="1" customWidth="1"/>
    <col min="4" max="4" width="35.5703125" style="201" customWidth="1"/>
    <col min="5" max="5" width="11" style="201" customWidth="1"/>
    <col min="6" max="6" width="29.5703125" style="201" customWidth="1"/>
    <col min="7" max="7" width="25.5703125" style="201" bestFit="1" customWidth="1"/>
    <col min="8" max="8" width="19.5703125" style="201" customWidth="1"/>
    <col min="9" max="9" width="9.28515625" style="201" customWidth="1"/>
    <col min="10" max="10" width="7.28515625" style="201" customWidth="1"/>
    <col min="11" max="12" width="9.28515625" style="201"/>
    <col min="13" max="13" width="7.28515625" style="201" customWidth="1"/>
    <col min="14" max="14" width="9.28515625" style="201"/>
    <col min="15" max="15" width="21.7109375" style="201" customWidth="1"/>
    <col min="16" max="16" width="10.42578125" style="201" customWidth="1"/>
    <col min="17" max="17" width="12.5703125" style="201" customWidth="1"/>
    <col min="18" max="18" width="9.28515625" style="201"/>
    <col min="19" max="16384" width="9.140625" style="201"/>
  </cols>
  <sheetData>
    <row r="1" spans="1:21" ht="15" customHeight="1" x14ac:dyDescent="0.25">
      <c r="A1" s="97"/>
      <c r="B1" s="585" t="s">
        <v>16</v>
      </c>
      <c r="C1" s="585"/>
      <c r="D1" s="586"/>
      <c r="E1" s="586"/>
      <c r="F1" s="139" t="s">
        <v>220</v>
      </c>
      <c r="G1" s="139"/>
      <c r="H1" s="139"/>
      <c r="I1" s="139"/>
      <c r="J1" s="70"/>
      <c r="K1" s="70"/>
      <c r="L1" s="69"/>
      <c r="M1" s="99"/>
      <c r="N1" s="69"/>
      <c r="O1" s="99"/>
      <c r="P1" s="69"/>
      <c r="Q1" s="69"/>
      <c r="R1" s="140"/>
      <c r="S1" s="140"/>
      <c r="T1" s="140"/>
      <c r="U1" s="140"/>
    </row>
    <row r="2" spans="1:21" ht="15" customHeight="1" x14ac:dyDescent="0.25">
      <c r="A2" s="70"/>
      <c r="B2" s="585"/>
      <c r="C2" s="585"/>
      <c r="D2" s="586"/>
      <c r="E2" s="586"/>
      <c r="F2" s="139" t="s">
        <v>73</v>
      </c>
      <c r="G2" s="139"/>
      <c r="H2" s="139"/>
      <c r="I2" s="139"/>
      <c r="J2" s="70"/>
      <c r="K2" s="70"/>
      <c r="L2" s="71"/>
      <c r="M2" s="71"/>
      <c r="N2" s="142"/>
      <c r="O2" s="71"/>
      <c r="P2" s="71"/>
      <c r="Q2" s="71"/>
      <c r="R2" s="140"/>
      <c r="S2" s="140"/>
      <c r="T2" s="140"/>
      <c r="U2" s="140"/>
    </row>
    <row r="3" spans="1:21" ht="18" x14ac:dyDescent="0.25">
      <c r="A3" s="101"/>
      <c r="B3" s="73" t="str">
        <f>Beskrivelse!C13</f>
        <v xml:space="preserve">Tiltag 2 Udskiftning af varmeforsyning - Energiforbrug beregnet via nøgletal </v>
      </c>
      <c r="C3" s="143"/>
      <c r="D3" s="70"/>
      <c r="E3" s="70"/>
      <c r="F3" s="70"/>
      <c r="G3" s="70"/>
      <c r="H3" s="70"/>
      <c r="I3" s="70"/>
      <c r="J3" s="70"/>
      <c r="K3" s="70"/>
      <c r="L3" s="70"/>
      <c r="M3" s="71"/>
      <c r="N3" s="142"/>
      <c r="O3" s="71"/>
      <c r="P3" s="71"/>
      <c r="Q3" s="75"/>
      <c r="R3" s="140"/>
      <c r="S3" s="140"/>
      <c r="T3" s="140"/>
      <c r="U3" s="140"/>
    </row>
    <row r="4" spans="1:21" x14ac:dyDescent="0.25">
      <c r="A4" s="104"/>
      <c r="B4" s="104"/>
      <c r="C4" s="104"/>
      <c r="D4" s="104"/>
      <c r="E4" s="104"/>
      <c r="F4" s="104"/>
      <c r="G4" s="104"/>
      <c r="H4" s="104"/>
      <c r="I4" s="104"/>
      <c r="J4" s="104"/>
      <c r="K4" s="104"/>
      <c r="L4" s="104"/>
      <c r="M4" s="104"/>
      <c r="N4" s="104"/>
      <c r="O4" s="104"/>
      <c r="P4" s="104"/>
      <c r="Q4" s="104"/>
      <c r="R4" s="140"/>
      <c r="S4" s="140"/>
      <c r="T4" s="140"/>
      <c r="U4" s="140"/>
    </row>
    <row r="5" spans="1:21" x14ac:dyDescent="0.25">
      <c r="A5" s="70"/>
      <c r="B5" s="144"/>
      <c r="C5" s="70"/>
      <c r="D5" s="70"/>
      <c r="E5" s="70"/>
      <c r="F5" s="70"/>
      <c r="G5" s="70"/>
      <c r="H5" s="70"/>
      <c r="I5" s="70"/>
      <c r="J5" s="70"/>
      <c r="K5" s="70"/>
      <c r="L5" s="70"/>
      <c r="M5" s="70"/>
      <c r="N5" s="70"/>
      <c r="O5" s="70"/>
      <c r="P5" s="70"/>
      <c r="Q5" s="70"/>
      <c r="R5" s="140"/>
      <c r="S5" s="140"/>
      <c r="T5" s="140"/>
      <c r="U5" s="140"/>
    </row>
    <row r="6" spans="1:21" ht="15" customHeight="1" x14ac:dyDescent="0.25">
      <c r="A6" s="70"/>
      <c r="B6" s="587" t="s">
        <v>17</v>
      </c>
      <c r="C6" s="587"/>
      <c r="D6" s="587"/>
      <c r="E6" s="587"/>
      <c r="F6" s="587"/>
      <c r="G6" s="587"/>
      <c r="H6" s="587"/>
      <c r="I6" s="587"/>
      <c r="J6" s="587"/>
      <c r="K6" s="587"/>
      <c r="L6" s="587"/>
      <c r="M6" s="70"/>
      <c r="N6" s="70"/>
      <c r="O6" s="70"/>
      <c r="P6" s="70"/>
      <c r="Q6" s="70"/>
      <c r="R6" s="140"/>
      <c r="S6" s="140"/>
      <c r="T6" s="140"/>
      <c r="U6" s="140"/>
    </row>
    <row r="7" spans="1:21" ht="15" customHeight="1" x14ac:dyDescent="0.25">
      <c r="A7" s="70"/>
      <c r="B7" s="587"/>
      <c r="C7" s="587"/>
      <c r="D7" s="587"/>
      <c r="E7" s="587"/>
      <c r="F7" s="587"/>
      <c r="G7" s="587"/>
      <c r="H7" s="587"/>
      <c r="I7" s="587"/>
      <c r="J7" s="587"/>
      <c r="K7" s="587"/>
      <c r="L7" s="587"/>
      <c r="M7" s="145"/>
      <c r="N7" s="146"/>
      <c r="O7" s="146"/>
      <c r="P7" s="70"/>
      <c r="Q7" s="70"/>
      <c r="R7" s="140"/>
      <c r="S7" s="140"/>
      <c r="T7" s="140"/>
      <c r="U7" s="140"/>
    </row>
    <row r="8" spans="1:21" x14ac:dyDescent="0.25">
      <c r="A8" s="70"/>
      <c r="B8" s="147" t="s">
        <v>18</v>
      </c>
      <c r="C8" s="600" t="s">
        <v>383</v>
      </c>
      <c r="D8" s="600"/>
      <c r="E8" s="600"/>
      <c r="F8" s="600"/>
      <c r="G8" s="600"/>
      <c r="H8" s="600"/>
      <c r="I8" s="600"/>
      <c r="J8" s="600"/>
      <c r="K8" s="600"/>
      <c r="L8" s="601"/>
      <c r="M8" s="148"/>
      <c r="N8" s="137" t="s">
        <v>19</v>
      </c>
      <c r="O8" s="137">
        <f t="shared" ref="O8:O13" si="0">IF(M8="",0,IF(M8=N8,1,-1))</f>
        <v>0</v>
      </c>
      <c r="P8" s="149"/>
      <c r="Q8" s="70"/>
      <c r="R8" s="140"/>
      <c r="S8" s="140"/>
      <c r="T8" s="140"/>
      <c r="U8" s="140"/>
    </row>
    <row r="9" spans="1:21" x14ac:dyDescent="0.25">
      <c r="A9" s="70"/>
      <c r="B9" s="147" t="s">
        <v>18</v>
      </c>
      <c r="C9" s="467" t="s">
        <v>336</v>
      </c>
      <c r="D9" s="444"/>
      <c r="E9" s="444"/>
      <c r="F9" s="444"/>
      <c r="G9" s="444"/>
      <c r="H9" s="444"/>
      <c r="I9" s="444"/>
      <c r="J9" s="444"/>
      <c r="K9" s="444"/>
      <c r="L9" s="445"/>
      <c r="M9" s="148"/>
      <c r="N9" s="137" t="s">
        <v>19</v>
      </c>
      <c r="O9" s="137">
        <f t="shared" si="0"/>
        <v>0</v>
      </c>
      <c r="P9" s="149"/>
      <c r="Q9" s="70"/>
      <c r="R9" s="140"/>
      <c r="S9" s="140"/>
      <c r="T9" s="140"/>
      <c r="U9" s="140"/>
    </row>
    <row r="10" spans="1:21" x14ac:dyDescent="0.25">
      <c r="A10" s="70"/>
      <c r="B10" s="147" t="s">
        <v>18</v>
      </c>
      <c r="C10" s="535" t="s">
        <v>318</v>
      </c>
      <c r="D10" s="444"/>
      <c r="E10" s="444"/>
      <c r="F10" s="444"/>
      <c r="G10" s="444"/>
      <c r="H10" s="444"/>
      <c r="I10" s="444"/>
      <c r="J10" s="444"/>
      <c r="K10" s="444"/>
      <c r="L10" s="445"/>
      <c r="M10" s="148"/>
      <c r="N10" s="137" t="s">
        <v>19</v>
      </c>
      <c r="O10" s="137">
        <f t="shared" si="0"/>
        <v>0</v>
      </c>
      <c r="P10" s="149"/>
      <c r="Q10" s="70"/>
      <c r="R10" s="140"/>
      <c r="S10" s="140"/>
      <c r="T10" s="140"/>
      <c r="U10" s="140"/>
    </row>
    <row r="11" spans="1:21" x14ac:dyDescent="0.25">
      <c r="A11" s="70"/>
      <c r="B11" s="147" t="s">
        <v>18</v>
      </c>
      <c r="C11" s="473" t="s">
        <v>351</v>
      </c>
      <c r="D11" s="473"/>
      <c r="E11" s="473"/>
      <c r="F11" s="473"/>
      <c r="G11" s="473"/>
      <c r="H11" s="473"/>
      <c r="I11" s="473"/>
      <c r="J11" s="473"/>
      <c r="K11" s="473"/>
      <c r="L11" s="474"/>
      <c r="M11" s="148"/>
      <c r="N11" s="137" t="s">
        <v>352</v>
      </c>
      <c r="O11" s="137">
        <f>IF(M11="",0,IF(M11=N11,1,-1))</f>
        <v>0</v>
      </c>
      <c r="P11" s="149"/>
      <c r="Q11" s="70"/>
      <c r="R11" s="140"/>
      <c r="S11" s="140"/>
      <c r="T11" s="140"/>
      <c r="U11" s="140"/>
    </row>
    <row r="12" spans="1:21" x14ac:dyDescent="0.25">
      <c r="A12" s="70"/>
      <c r="B12" s="147" t="s">
        <v>18</v>
      </c>
      <c r="C12" s="542" t="s">
        <v>392</v>
      </c>
      <c r="D12" s="542"/>
      <c r="E12" s="542"/>
      <c r="F12" s="542"/>
      <c r="G12" s="542"/>
      <c r="H12" s="542"/>
      <c r="I12" s="542"/>
      <c r="J12" s="542"/>
      <c r="K12" s="542"/>
      <c r="L12" s="543"/>
      <c r="M12" s="148"/>
      <c r="N12" s="137" t="s">
        <v>393</v>
      </c>
      <c r="O12" s="137">
        <f>IF(M12="",0,IF(M12=N12,1,-1))</f>
        <v>0</v>
      </c>
      <c r="P12" s="149"/>
      <c r="Q12" s="70"/>
      <c r="R12" s="140"/>
      <c r="S12" s="140"/>
      <c r="T12" s="140"/>
      <c r="U12" s="140"/>
    </row>
    <row r="13" spans="1:21" x14ac:dyDescent="0.25">
      <c r="A13" s="70"/>
      <c r="B13" s="147" t="s">
        <v>18</v>
      </c>
      <c r="C13" s="588" t="s">
        <v>353</v>
      </c>
      <c r="D13" s="588"/>
      <c r="E13" s="588"/>
      <c r="F13" s="588"/>
      <c r="G13" s="588"/>
      <c r="H13" s="588"/>
      <c r="I13" s="588"/>
      <c r="J13" s="588"/>
      <c r="K13" s="588"/>
      <c r="L13" s="589"/>
      <c r="M13" s="148"/>
      <c r="N13" s="137" t="s">
        <v>19</v>
      </c>
      <c r="O13" s="137">
        <f t="shared" si="0"/>
        <v>0</v>
      </c>
      <c r="P13" s="149"/>
      <c r="Q13" s="70"/>
      <c r="R13" s="140"/>
      <c r="S13" s="140"/>
      <c r="T13" s="140"/>
      <c r="U13" s="140"/>
    </row>
    <row r="14" spans="1:21" ht="29.25" x14ac:dyDescent="0.25">
      <c r="A14" s="70"/>
      <c r="B14" s="150" t="str">
        <f>IF(I14=0,"Spørgsmål om afgrænsning er ikke besvaret",IF(I14=1,"Projektet er omfattet af standardløsningen","Projektet er IKKE omfattet af standardløsningen"))</f>
        <v>Spørgsmål om afgrænsning er ikke besvaret</v>
      </c>
      <c r="C14" s="151"/>
      <c r="D14" s="151"/>
      <c r="E14" s="151"/>
      <c r="F14" s="151"/>
      <c r="G14" s="152" t="s">
        <v>100</v>
      </c>
      <c r="H14" s="151"/>
      <c r="I14" s="138">
        <f>MIN(O8:O13)</f>
        <v>0</v>
      </c>
      <c r="J14" s="70"/>
      <c r="K14" s="70"/>
      <c r="L14" s="70"/>
      <c r="M14" s="70"/>
      <c r="N14" s="70"/>
      <c r="O14" s="70"/>
      <c r="P14" s="70"/>
      <c r="Q14" s="70"/>
      <c r="R14" s="140"/>
      <c r="S14" s="140"/>
      <c r="T14" s="140"/>
      <c r="U14" s="140"/>
    </row>
    <row r="15" spans="1:21" ht="22.5" x14ac:dyDescent="0.3">
      <c r="A15" s="70"/>
      <c r="B15" s="153"/>
      <c r="C15" s="70"/>
      <c r="D15" s="70"/>
      <c r="E15" s="70"/>
      <c r="F15" s="70"/>
      <c r="G15" s="70"/>
      <c r="H15" s="70"/>
      <c r="I15" s="70"/>
      <c r="J15" s="155"/>
      <c r="K15" s="155"/>
      <c r="L15" s="155"/>
      <c r="M15" s="155"/>
      <c r="N15" s="155"/>
      <c r="O15" s="155"/>
      <c r="P15" s="155"/>
      <c r="Q15" s="155"/>
      <c r="R15" s="140"/>
      <c r="S15" s="140"/>
      <c r="T15" s="140"/>
      <c r="U15" s="140"/>
    </row>
    <row r="16" spans="1:21" ht="22.5" x14ac:dyDescent="0.3">
      <c r="A16" s="70"/>
      <c r="B16" s="575" t="s">
        <v>21</v>
      </c>
      <c r="C16" s="575"/>
      <c r="D16" s="575"/>
      <c r="E16" s="575"/>
      <c r="F16" s="575"/>
      <c r="G16" s="575"/>
      <c r="H16" s="575"/>
      <c r="I16" s="575"/>
      <c r="J16" s="70"/>
      <c r="K16" s="476" t="s">
        <v>138</v>
      </c>
      <c r="L16" s="155"/>
      <c r="M16" s="155"/>
      <c r="N16" s="155"/>
      <c r="O16" s="155"/>
      <c r="P16" s="155"/>
      <c r="Q16" s="155"/>
      <c r="R16" s="140"/>
      <c r="S16" s="140"/>
      <c r="T16" s="140"/>
      <c r="U16" s="140"/>
    </row>
    <row r="17" spans="1:21" ht="22.5" x14ac:dyDescent="0.3">
      <c r="A17" s="70"/>
      <c r="B17" s="157">
        <v>1</v>
      </c>
      <c r="C17" s="158" t="s">
        <v>320</v>
      </c>
      <c r="D17" s="159"/>
      <c r="E17" s="159"/>
      <c r="F17" s="159"/>
      <c r="G17" s="160"/>
      <c r="H17" s="160"/>
      <c r="I17" s="160"/>
      <c r="J17" s="70"/>
      <c r="K17" s="155"/>
      <c r="L17" s="155"/>
      <c r="M17" s="155"/>
      <c r="N17" s="155"/>
      <c r="O17" s="155"/>
      <c r="P17" s="155"/>
      <c r="Q17" s="155"/>
      <c r="R17" s="140"/>
      <c r="S17" s="140"/>
      <c r="T17" s="140"/>
      <c r="U17" s="140"/>
    </row>
    <row r="18" spans="1:21" ht="22.5" x14ac:dyDescent="0.3">
      <c r="A18" s="70"/>
      <c r="B18" s="164" t="s">
        <v>103</v>
      </c>
      <c r="C18" s="447" t="s">
        <v>319</v>
      </c>
      <c r="D18" s="447"/>
      <c r="E18" s="447"/>
      <c r="F18" s="448"/>
      <c r="G18" s="579"/>
      <c r="H18" s="580"/>
      <c r="I18" s="167"/>
      <c r="J18" s="70"/>
      <c r="K18" s="155" t="s">
        <v>138</v>
      </c>
      <c r="L18" s="155"/>
      <c r="M18" s="155"/>
      <c r="N18" s="155"/>
      <c r="O18" s="155"/>
      <c r="P18" s="155"/>
      <c r="Q18" s="155"/>
      <c r="R18" s="140"/>
      <c r="S18" s="140"/>
      <c r="T18" s="140"/>
      <c r="U18" s="140"/>
    </row>
    <row r="19" spans="1:21" ht="22.5" x14ac:dyDescent="0.3">
      <c r="A19" s="169"/>
      <c r="B19" s="164" t="s">
        <v>102</v>
      </c>
      <c r="C19" s="565" t="s">
        <v>309</v>
      </c>
      <c r="D19" s="565"/>
      <c r="E19" s="565"/>
      <c r="F19" s="566"/>
      <c r="G19" s="599"/>
      <c r="H19" s="599"/>
      <c r="I19" s="167"/>
      <c r="J19" s="70"/>
      <c r="K19" s="155"/>
      <c r="L19" s="155"/>
      <c r="M19" s="155"/>
      <c r="N19" s="155"/>
      <c r="O19" s="155"/>
      <c r="P19" s="155"/>
      <c r="Q19" s="155"/>
      <c r="R19" s="172"/>
      <c r="S19" s="140"/>
      <c r="T19" s="140"/>
      <c r="U19" s="140"/>
    </row>
    <row r="20" spans="1:21" ht="15" customHeight="1" x14ac:dyDescent="0.3">
      <c r="A20" s="70"/>
      <c r="B20" s="270" t="s">
        <v>317</v>
      </c>
      <c r="C20" s="272" t="s">
        <v>210</v>
      </c>
      <c r="D20" s="270"/>
      <c r="E20" s="270"/>
      <c r="F20" s="270"/>
      <c r="G20" s="597"/>
      <c r="H20" s="597"/>
      <c r="I20" s="167"/>
      <c r="J20" s="169"/>
      <c r="K20" s="155"/>
      <c r="L20" s="155"/>
      <c r="M20" s="155"/>
      <c r="N20" s="155"/>
      <c r="O20" s="155"/>
      <c r="P20" s="155"/>
      <c r="Q20" s="155"/>
      <c r="R20" s="140"/>
      <c r="S20" s="140"/>
      <c r="T20" s="140"/>
      <c r="U20" s="140"/>
    </row>
    <row r="21" spans="1:21" ht="15" customHeight="1" x14ac:dyDescent="0.3">
      <c r="A21" s="70"/>
      <c r="B21" s="164"/>
      <c r="C21" s="449"/>
      <c r="D21" s="449"/>
      <c r="E21" s="449"/>
      <c r="F21" s="451"/>
      <c r="G21" s="270"/>
      <c r="H21" s="270"/>
      <c r="I21" s="270"/>
      <c r="J21" s="169"/>
      <c r="K21" s="155"/>
      <c r="L21" s="155"/>
      <c r="M21" s="155"/>
      <c r="N21" s="155"/>
      <c r="O21" s="155"/>
      <c r="P21" s="155"/>
      <c r="Q21" s="155"/>
      <c r="R21" s="140"/>
      <c r="S21" s="140"/>
      <c r="T21" s="140"/>
      <c r="U21" s="140"/>
    </row>
    <row r="22" spans="1:21" ht="15" customHeight="1" x14ac:dyDescent="0.3">
      <c r="A22" s="70"/>
      <c r="B22" s="157">
        <v>2</v>
      </c>
      <c r="C22" s="158" t="s">
        <v>315</v>
      </c>
      <c r="D22" s="449"/>
      <c r="E22" s="449"/>
      <c r="F22" s="451"/>
      <c r="G22" s="598"/>
      <c r="H22" s="598"/>
      <c r="I22" s="271"/>
      <c r="J22" s="169"/>
      <c r="K22" s="155"/>
      <c r="L22" s="155"/>
      <c r="M22" s="155"/>
      <c r="N22" s="155"/>
      <c r="O22" s="155"/>
      <c r="P22" s="155"/>
      <c r="Q22" s="155"/>
      <c r="R22" s="140"/>
      <c r="S22" s="140"/>
      <c r="T22" s="140"/>
      <c r="U22" s="140"/>
    </row>
    <row r="23" spans="1:21" ht="15" customHeight="1" x14ac:dyDescent="0.3">
      <c r="A23" s="70"/>
      <c r="B23" s="460" t="s">
        <v>316</v>
      </c>
      <c r="C23" s="165" t="s">
        <v>337</v>
      </c>
      <c r="D23" s="165"/>
      <c r="E23" s="165"/>
      <c r="F23" s="166"/>
      <c r="G23" s="576"/>
      <c r="H23" s="576"/>
      <c r="I23" s="271"/>
      <c r="J23" s="169"/>
      <c r="K23" s="155"/>
      <c r="L23" s="155"/>
      <c r="M23" s="155"/>
      <c r="N23" s="155"/>
      <c r="O23" s="155"/>
      <c r="P23" s="155"/>
      <c r="Q23" s="155"/>
      <c r="R23" s="140"/>
      <c r="S23" s="140"/>
      <c r="T23" s="140"/>
      <c r="U23" s="140"/>
    </row>
    <row r="24" spans="1:21" ht="15" customHeight="1" x14ac:dyDescent="0.3">
      <c r="A24" s="70"/>
      <c r="B24" s="460" t="s">
        <v>321</v>
      </c>
      <c r="C24" s="577" t="s">
        <v>374</v>
      </c>
      <c r="D24" s="577"/>
      <c r="E24" s="577"/>
      <c r="F24" s="578"/>
      <c r="G24" s="579"/>
      <c r="H24" s="580"/>
      <c r="I24" s="271"/>
      <c r="J24" s="169"/>
      <c r="K24" s="155"/>
      <c r="L24" s="155"/>
      <c r="M24" s="155"/>
      <c r="N24" s="155"/>
      <c r="O24" s="155"/>
      <c r="P24" s="155"/>
      <c r="Q24" s="155"/>
      <c r="R24" s="140"/>
      <c r="S24" s="140"/>
      <c r="T24" s="140"/>
      <c r="U24" s="140"/>
    </row>
    <row r="25" spans="1:21" s="498" customFormat="1" ht="15" customHeight="1" x14ac:dyDescent="0.25">
      <c r="A25" s="70"/>
      <c r="B25" s="164" t="s">
        <v>322</v>
      </c>
      <c r="C25" s="565" t="s">
        <v>375</v>
      </c>
      <c r="D25" s="565"/>
      <c r="E25" s="565"/>
      <c r="F25" s="584"/>
      <c r="G25" s="581"/>
      <c r="H25" s="582"/>
      <c r="I25" s="271"/>
      <c r="J25" s="169"/>
      <c r="K25" s="181"/>
      <c r="L25" s="140"/>
      <c r="M25" s="140"/>
      <c r="N25" s="140"/>
      <c r="O25" s="140"/>
      <c r="P25" s="140"/>
      <c r="Q25" s="70"/>
      <c r="R25" s="269"/>
      <c r="S25" s="269"/>
      <c r="T25" s="269"/>
      <c r="U25" s="269"/>
    </row>
    <row r="26" spans="1:21" x14ac:dyDescent="0.25">
      <c r="A26" s="70"/>
      <c r="B26" s="174"/>
      <c r="C26" s="565" t="str">
        <f>IF(G22="Kul/koks","Normvirkningsgrad","")</f>
        <v/>
      </c>
      <c r="D26" s="565"/>
      <c r="E26" s="565"/>
      <c r="F26" s="565"/>
      <c r="G26" s="270"/>
      <c r="H26" s="270"/>
      <c r="I26" s="167"/>
      <c r="J26" s="70"/>
      <c r="K26" s="182"/>
      <c r="L26" s="183"/>
      <c r="M26" s="183"/>
      <c r="N26" s="183"/>
      <c r="O26" s="183"/>
      <c r="P26" s="70"/>
      <c r="Q26" s="70"/>
      <c r="R26" s="140"/>
      <c r="S26" s="140"/>
      <c r="T26" s="140"/>
      <c r="U26" s="140"/>
    </row>
    <row r="27" spans="1:21" ht="15" customHeight="1" x14ac:dyDescent="0.25">
      <c r="A27" s="70"/>
      <c r="B27" s="164"/>
      <c r="C27" s="452"/>
      <c r="D27" s="452"/>
      <c r="E27" s="452"/>
      <c r="F27" s="452"/>
      <c r="G27" s="452"/>
      <c r="H27" s="452"/>
      <c r="I27" s="167"/>
      <c r="J27" s="70"/>
      <c r="K27" s="182"/>
      <c r="L27" s="183"/>
      <c r="M27" s="183"/>
      <c r="N27" s="183"/>
      <c r="O27" s="183"/>
      <c r="P27" s="70"/>
      <c r="Q27" s="70"/>
      <c r="R27" s="140"/>
      <c r="S27" s="140"/>
      <c r="T27" s="140"/>
      <c r="U27" s="140"/>
    </row>
    <row r="28" spans="1:21" x14ac:dyDescent="0.25">
      <c r="A28" s="70"/>
      <c r="B28" s="174">
        <v>3</v>
      </c>
      <c r="C28" s="194" t="s">
        <v>208</v>
      </c>
      <c r="D28" s="194"/>
      <c r="E28" s="195"/>
      <c r="F28" s="195"/>
      <c r="G28" s="136"/>
      <c r="H28" s="136"/>
      <c r="I28" s="188"/>
      <c r="J28" s="70"/>
      <c r="K28" s="140"/>
      <c r="L28" s="183"/>
      <c r="M28" s="183"/>
      <c r="N28" s="183"/>
      <c r="O28" s="183"/>
      <c r="P28" s="70"/>
      <c r="Q28" s="70"/>
      <c r="R28" s="140"/>
      <c r="S28" s="140"/>
      <c r="T28" s="140"/>
      <c r="U28" s="140"/>
    </row>
    <row r="29" spans="1:21" x14ac:dyDescent="0.25">
      <c r="A29" s="70"/>
      <c r="B29" s="164" t="s">
        <v>107</v>
      </c>
      <c r="C29" s="593" t="s">
        <v>131</v>
      </c>
      <c r="D29" s="593"/>
      <c r="E29" s="593"/>
      <c r="F29" s="594"/>
      <c r="G29" s="576"/>
      <c r="H29" s="576"/>
      <c r="I29" s="188"/>
      <c r="J29" s="70"/>
      <c r="K29" s="182"/>
      <c r="L29" s="183"/>
      <c r="M29" s="183"/>
      <c r="N29" s="183"/>
      <c r="O29" s="183"/>
      <c r="P29" s="70"/>
      <c r="Q29" s="70"/>
      <c r="R29" s="140"/>
      <c r="S29" s="140"/>
      <c r="T29" s="140"/>
      <c r="U29" s="140"/>
    </row>
    <row r="30" spans="1:21" ht="15" customHeight="1" x14ac:dyDescent="0.25">
      <c r="A30" s="70"/>
      <c r="B30" s="164" t="str">
        <f>IF(C30="","","3.2")</f>
        <v/>
      </c>
      <c r="C30" s="450" t="str">
        <f>IF(Nøgletal!Q44="Kedel","Varmeydelse (effekt i kW) på den nye forventede brændselskedel ","")</f>
        <v/>
      </c>
      <c r="D30" s="450"/>
      <c r="E30" s="450"/>
      <c r="F30" s="198"/>
      <c r="G30" s="570"/>
      <c r="H30" s="570"/>
      <c r="I30" s="167" t="str">
        <f>IF(Nøgletal!Q44="Kedel","kW","")</f>
        <v/>
      </c>
      <c r="J30" s="70"/>
      <c r="K30" s="182"/>
      <c r="L30" s="183"/>
      <c r="M30" s="183"/>
      <c r="N30" s="183"/>
      <c r="O30" s="183"/>
      <c r="P30" s="70"/>
      <c r="Q30" s="70"/>
      <c r="R30" s="140"/>
      <c r="S30" s="140"/>
      <c r="T30" s="140"/>
      <c r="U30" s="140"/>
    </row>
    <row r="31" spans="1:21" ht="15" customHeight="1" x14ac:dyDescent="0.25">
      <c r="A31" s="70"/>
      <c r="B31" s="164" t="str">
        <f>IF(C31="","","3.3")</f>
        <v/>
      </c>
      <c r="C31" s="565" t="str">
        <f>IF(Nøgletal!Q44="Kedel","Virkningsgrad/nyttevirkning på forventede ny kedel","")</f>
        <v/>
      </c>
      <c r="D31" s="565"/>
      <c r="E31" s="565"/>
      <c r="F31" s="566"/>
      <c r="G31" s="595"/>
      <c r="H31" s="595"/>
      <c r="I31" s="167" t="str">
        <f>IF(Nøgletal!Q44="Kedel","%","")</f>
        <v/>
      </c>
      <c r="J31" s="70"/>
      <c r="K31" s="182"/>
      <c r="L31" s="183"/>
      <c r="M31" s="183"/>
      <c r="N31" s="183"/>
      <c r="O31" s="183"/>
      <c r="P31" s="70"/>
      <c r="Q31" s="70"/>
      <c r="R31" s="140"/>
      <c r="S31" s="140"/>
      <c r="T31" s="140"/>
      <c r="U31" s="140"/>
    </row>
    <row r="32" spans="1:21" ht="15" customHeight="1" x14ac:dyDescent="0.25">
      <c r="A32" s="70"/>
      <c r="B32" s="164" t="str">
        <f>IF(C32="","","3.4")</f>
        <v/>
      </c>
      <c r="C32" s="565" t="str">
        <f>IF(Nøgletal!Q44="Kedel","Den forventede nye brændselskedels årsvirkningsgrad [%]","")</f>
        <v/>
      </c>
      <c r="D32" s="565"/>
      <c r="E32" s="565"/>
      <c r="F32" s="565"/>
      <c r="G32" s="596" t="str">
        <f>IFERROR(IF(G31&lt;&gt;"",Nøgletal!O39,""),"")</f>
        <v/>
      </c>
      <c r="H32" s="596"/>
      <c r="I32" s="149" t="str">
        <f>IF(OR(J49="Fyringsolie",J49="Naturgas",J49="Kul og koks",J49="Flis",J49="Træpiller",J49="Halm"),"%","")</f>
        <v/>
      </c>
      <c r="J32" s="70"/>
      <c r="K32" s="182"/>
      <c r="L32" s="183"/>
      <c r="M32" s="183"/>
      <c r="N32" s="183"/>
      <c r="O32" s="183"/>
      <c r="P32" s="70"/>
      <c r="Q32" s="70"/>
      <c r="R32" s="140"/>
      <c r="S32" s="140"/>
      <c r="T32" s="140"/>
      <c r="U32" s="140"/>
    </row>
    <row r="33" spans="1:21" x14ac:dyDescent="0.25">
      <c r="A33" s="70"/>
      <c r="B33" s="164" t="str">
        <f>IF(G29="Varmepumpe","3.5","")</f>
        <v/>
      </c>
      <c r="C33" s="593" t="str">
        <f>IF(G29="Varmepumpe","SCOP-værdi på varmepumpe","")</f>
        <v/>
      </c>
      <c r="D33" s="593"/>
      <c r="E33" s="593"/>
      <c r="F33" s="594"/>
      <c r="G33" s="567"/>
      <c r="H33" s="567"/>
      <c r="I33" s="149"/>
      <c r="J33" s="70"/>
      <c r="K33" s="182"/>
      <c r="L33" s="183"/>
      <c r="M33" s="183"/>
      <c r="N33" s="183"/>
      <c r="O33" s="183"/>
      <c r="P33" s="70"/>
      <c r="Q33" s="70"/>
      <c r="R33" s="140"/>
      <c r="S33" s="140"/>
      <c r="T33" s="140"/>
      <c r="U33" s="140"/>
    </row>
    <row r="34" spans="1:21" x14ac:dyDescent="0.25">
      <c r="A34" s="70"/>
      <c r="B34" s="592"/>
      <c r="C34" s="592"/>
      <c r="D34" s="592"/>
      <c r="E34" s="592"/>
      <c r="F34" s="592"/>
      <c r="G34" s="592"/>
      <c r="H34" s="592"/>
      <c r="I34" s="443"/>
      <c r="J34" s="70"/>
      <c r="K34" s="182"/>
      <c r="L34" s="183"/>
      <c r="M34" s="183"/>
      <c r="N34" s="183"/>
      <c r="O34" s="183"/>
      <c r="P34" s="70"/>
      <c r="Q34" s="70"/>
      <c r="R34" s="140"/>
      <c r="S34" s="140"/>
      <c r="T34" s="140"/>
      <c r="U34" s="140"/>
    </row>
    <row r="35" spans="1:21" x14ac:dyDescent="0.25">
      <c r="A35" s="70"/>
      <c r="B35" s="592"/>
      <c r="C35" s="592"/>
      <c r="D35" s="592"/>
      <c r="E35" s="592"/>
      <c r="F35" s="592"/>
      <c r="G35" s="592"/>
      <c r="H35" s="592"/>
      <c r="I35" s="443"/>
      <c r="J35" s="70"/>
      <c r="K35" s="182"/>
      <c r="L35" s="183"/>
      <c r="M35" s="183"/>
      <c r="N35" s="183"/>
      <c r="O35" s="183"/>
      <c r="P35" s="70"/>
      <c r="Q35" s="70"/>
      <c r="R35" s="140"/>
      <c r="S35" s="140"/>
      <c r="T35" s="140"/>
      <c r="U35" s="140"/>
    </row>
    <row r="36" spans="1:21" ht="6" customHeight="1" x14ac:dyDescent="0.25">
      <c r="A36" s="70"/>
      <c r="B36" s="151"/>
      <c r="C36" s="151"/>
      <c r="D36" s="151"/>
      <c r="E36" s="151"/>
      <c r="F36" s="151"/>
      <c r="G36" s="151"/>
      <c r="H36" s="151"/>
      <c r="I36" s="197">
        <f>IF(OR(I34="Fyringsolie",I34="Naturgas",I34="Kul og koks",I34="Flis",I34="Træpiller",I34="Halm",I34="Kul/koks"),1,0)</f>
        <v>0</v>
      </c>
      <c r="J36" s="197">
        <f>COUNT(#REF!)</f>
        <v>0</v>
      </c>
      <c r="K36" s="182"/>
      <c r="L36" s="183"/>
      <c r="M36" s="183"/>
      <c r="N36" s="183"/>
      <c r="O36" s="183"/>
      <c r="P36" s="70"/>
      <c r="Q36" s="70"/>
      <c r="R36" s="140"/>
      <c r="S36" s="140"/>
      <c r="T36" s="140"/>
      <c r="U36" s="140"/>
    </row>
    <row r="37" spans="1:21" ht="5.25" customHeight="1" x14ac:dyDescent="0.25">
      <c r="A37" s="70"/>
      <c r="B37" s="151"/>
      <c r="C37" s="151"/>
      <c r="D37" s="151"/>
      <c r="E37" s="151"/>
      <c r="F37" s="151"/>
      <c r="G37" s="151"/>
      <c r="H37" s="151"/>
      <c r="I37" s="151"/>
      <c r="J37" s="197"/>
      <c r="K37" s="182"/>
      <c r="L37" s="183"/>
      <c r="M37" s="183"/>
      <c r="N37" s="183"/>
      <c r="O37" s="183"/>
      <c r="P37" s="70"/>
      <c r="Q37" s="70"/>
      <c r="R37" s="140"/>
      <c r="S37" s="140"/>
      <c r="T37" s="140"/>
      <c r="U37" s="140"/>
    </row>
    <row r="38" spans="1:21" ht="18" x14ac:dyDescent="0.25">
      <c r="A38" s="70"/>
      <c r="B38" s="446" t="s">
        <v>24</v>
      </c>
      <c r="C38" s="70"/>
      <c r="D38" s="101"/>
      <c r="E38" s="101"/>
      <c r="F38" s="101"/>
      <c r="G38" s="101"/>
      <c r="H38" s="140"/>
      <c r="I38" s="140"/>
      <c r="J38" s="197"/>
      <c r="K38" s="182"/>
      <c r="L38" s="183"/>
      <c r="M38" s="183"/>
      <c r="N38" s="183"/>
      <c r="O38" s="183"/>
      <c r="P38" s="70"/>
      <c r="Q38" s="70"/>
      <c r="R38" s="140"/>
      <c r="S38" s="140"/>
      <c r="T38" s="140"/>
      <c r="U38" s="140"/>
    </row>
    <row r="39" spans="1:21" x14ac:dyDescent="0.25">
      <c r="A39" s="70"/>
      <c r="B39" s="161" t="s">
        <v>111</v>
      </c>
      <c r="C39" s="162"/>
      <c r="D39" s="162"/>
      <c r="E39" s="162"/>
      <c r="F39" s="136" t="str">
        <f>IF(G23="","-",VLOOKUP(G23,'Forbrugsberegner 2'!E95:F104,2,FALSE))</f>
        <v>-</v>
      </c>
      <c r="G39" s="161"/>
      <c r="H39" s="140"/>
      <c r="I39" s="140"/>
      <c r="J39" s="197"/>
      <c r="K39" s="182"/>
      <c r="L39" s="183"/>
      <c r="M39" s="183"/>
      <c r="N39" s="183"/>
      <c r="O39" s="183"/>
      <c r="P39" s="70"/>
      <c r="Q39" s="70"/>
      <c r="R39" s="140"/>
      <c r="S39" s="140"/>
      <c r="T39" s="140"/>
      <c r="U39" s="140"/>
    </row>
    <row r="40" spans="1:21" x14ac:dyDescent="0.25">
      <c r="A40" s="70"/>
      <c r="B40" s="161" t="s">
        <v>110</v>
      </c>
      <c r="C40" s="161"/>
      <c r="D40" s="161"/>
      <c r="E40" s="161"/>
      <c r="F40" s="134" t="str">
        <f>IFERROR(Nøgletal!O11/1000,"-")</f>
        <v>-</v>
      </c>
      <c r="G40" s="136" t="s">
        <v>25</v>
      </c>
      <c r="H40" s="140"/>
      <c r="I40" s="140"/>
      <c r="J40" s="197"/>
      <c r="K40" s="182"/>
      <c r="L40" s="183"/>
      <c r="M40" s="183"/>
      <c r="N40" s="183"/>
      <c r="O40" s="183"/>
      <c r="P40" s="70"/>
      <c r="Q40" s="70"/>
      <c r="R40" s="140"/>
      <c r="S40" s="140"/>
      <c r="T40" s="140"/>
      <c r="U40" s="140"/>
    </row>
    <row r="41" spans="1:21" x14ac:dyDescent="0.25">
      <c r="A41" s="70"/>
      <c r="B41" s="168"/>
      <c r="C41" s="168"/>
      <c r="D41" s="168"/>
      <c r="E41" s="168"/>
      <c r="F41" s="136"/>
      <c r="G41" s="168"/>
      <c r="H41" s="140"/>
      <c r="I41" s="140"/>
      <c r="J41" s="70"/>
      <c r="K41" s="182"/>
      <c r="L41" s="189"/>
      <c r="M41" s="189"/>
      <c r="N41" s="189"/>
      <c r="O41" s="189"/>
      <c r="P41" s="70"/>
      <c r="Q41" s="70"/>
      <c r="R41" s="140"/>
      <c r="S41" s="140"/>
      <c r="T41" s="140"/>
      <c r="U41" s="140"/>
    </row>
    <row r="42" spans="1:21" ht="15" customHeight="1" x14ac:dyDescent="0.25">
      <c r="A42" s="70"/>
      <c r="B42" s="161" t="s">
        <v>109</v>
      </c>
      <c r="C42" s="170"/>
      <c r="D42" s="170"/>
      <c r="E42" s="170"/>
      <c r="F42" s="136" t="str">
        <f>IF(G29="","-",VLOOKUP(G29,'Forbrugsberegner 2'!E95:F107,2,FALSE))</f>
        <v>-</v>
      </c>
      <c r="G42" s="168"/>
      <c r="H42" s="140"/>
      <c r="I42" s="140"/>
      <c r="J42" s="70"/>
      <c r="K42" s="70"/>
      <c r="L42" s="70"/>
      <c r="M42" s="70"/>
      <c r="N42" s="70"/>
      <c r="O42" s="70"/>
      <c r="P42" s="70"/>
      <c r="Q42" s="70"/>
      <c r="R42" s="140"/>
      <c r="S42" s="140"/>
      <c r="T42" s="140"/>
      <c r="U42" s="140"/>
    </row>
    <row r="43" spans="1:21" x14ac:dyDescent="0.25">
      <c r="A43" s="70"/>
      <c r="B43" s="161" t="s">
        <v>108</v>
      </c>
      <c r="C43" s="170"/>
      <c r="D43" s="170"/>
      <c r="E43" s="170"/>
      <c r="F43" s="134" t="str">
        <f>IFERROR(IF(G29="","-",IF(OR(F40="Ugyldigt energiforbrug",F40="Ugyldige årstal",F40="-"),F40,Nøgletal!O22/1000)),"-")</f>
        <v>-</v>
      </c>
      <c r="G43" s="136" t="s">
        <v>25</v>
      </c>
      <c r="H43" s="140"/>
      <c r="I43" s="140"/>
      <c r="J43" s="70"/>
      <c r="K43" s="182"/>
      <c r="L43" s="189"/>
      <c r="M43" s="189"/>
      <c r="N43" s="189"/>
      <c r="O43" s="189"/>
      <c r="P43" s="70"/>
      <c r="Q43" s="70"/>
      <c r="R43" s="140"/>
      <c r="S43" s="140"/>
      <c r="T43" s="140"/>
      <c r="U43" s="140"/>
    </row>
    <row r="44" spans="1:21" ht="15.75" thickBot="1" x14ac:dyDescent="0.3">
      <c r="A44" s="70"/>
      <c r="B44" s="161"/>
      <c r="C44" s="170"/>
      <c r="D44" s="170"/>
      <c r="E44" s="170"/>
      <c r="F44" s="168"/>
      <c r="G44" s="168"/>
      <c r="H44" s="140"/>
      <c r="I44" s="140"/>
      <c r="J44" s="70"/>
      <c r="K44" s="182"/>
      <c r="L44" s="189"/>
      <c r="M44" s="189"/>
      <c r="N44" s="189"/>
      <c r="O44" s="189"/>
      <c r="P44" s="70"/>
      <c r="Q44" s="70"/>
      <c r="R44" s="140"/>
      <c r="S44" s="140"/>
      <c r="T44" s="140"/>
      <c r="U44" s="140"/>
    </row>
    <row r="45" spans="1:21" ht="15.75" thickBot="1" x14ac:dyDescent="0.3">
      <c r="A45" s="70"/>
      <c r="B45" s="562" t="s">
        <v>26</v>
      </c>
      <c r="C45" s="563"/>
      <c r="D45" s="563"/>
      <c r="E45" s="563"/>
      <c r="F45" s="135" t="str">
        <f>IFERROR(IF(OR(F43="-",F40="-"),"-",IF(I14=1,F40-F43,"Input mangler / Ugyldig kombination!")),"-")</f>
        <v>-</v>
      </c>
      <c r="G45" s="178" t="s">
        <v>25</v>
      </c>
      <c r="H45" s="140"/>
      <c r="I45" s="140"/>
      <c r="J45" s="70"/>
      <c r="K45" s="182"/>
      <c r="L45" s="189"/>
      <c r="M45" s="189"/>
      <c r="N45" s="189"/>
      <c r="O45" s="442"/>
      <c r="P45" s="199"/>
      <c r="Q45" s="199"/>
      <c r="R45" s="140"/>
      <c r="S45" s="140"/>
      <c r="T45" s="140"/>
      <c r="U45" s="140"/>
    </row>
    <row r="46" spans="1:21" x14ac:dyDescent="0.25">
      <c r="A46" s="70"/>
      <c r="B46" s="140"/>
      <c r="C46" s="140"/>
      <c r="D46" s="140"/>
      <c r="E46" s="140"/>
      <c r="F46" s="140"/>
      <c r="G46" s="140"/>
      <c r="H46" s="140"/>
      <c r="I46" s="140"/>
      <c r="J46" s="70"/>
      <c r="K46" s="182"/>
      <c r="L46" s="189"/>
      <c r="M46" s="189"/>
      <c r="N46" s="189"/>
      <c r="O46" s="189"/>
      <c r="P46" s="70"/>
      <c r="Q46" s="200" t="s">
        <v>27</v>
      </c>
      <c r="R46" s="190"/>
      <c r="S46" s="140"/>
      <c r="T46" s="140"/>
      <c r="U46" s="140"/>
    </row>
    <row r="47" spans="1:21" x14ac:dyDescent="0.25">
      <c r="A47" s="70"/>
      <c r="B47" s="140"/>
      <c r="C47" s="140"/>
      <c r="D47" s="140"/>
      <c r="E47" s="140"/>
      <c r="F47" s="140"/>
      <c r="G47" s="140"/>
      <c r="H47" s="140"/>
      <c r="I47" s="140"/>
      <c r="J47" s="70"/>
      <c r="K47" s="140"/>
      <c r="L47" s="140"/>
      <c r="M47" s="140"/>
      <c r="N47" s="140"/>
      <c r="O47" s="140"/>
      <c r="P47" s="140"/>
      <c r="Q47" s="140"/>
      <c r="R47" s="196"/>
      <c r="S47" s="140"/>
      <c r="T47" s="140"/>
      <c r="U47" s="140"/>
    </row>
    <row r="48" spans="1:21" x14ac:dyDescent="0.25">
      <c r="A48" s="70"/>
      <c r="B48" s="140"/>
      <c r="C48" s="140"/>
      <c r="D48" s="140"/>
      <c r="E48" s="140"/>
      <c r="F48" s="140"/>
      <c r="G48" s="140"/>
      <c r="H48" s="140"/>
      <c r="I48" s="140"/>
      <c r="J48" s="70"/>
      <c r="K48" s="140"/>
      <c r="L48" s="140"/>
      <c r="M48" s="140"/>
      <c r="N48" s="140"/>
      <c r="O48" s="140"/>
      <c r="P48" s="140"/>
      <c r="Q48" s="140"/>
      <c r="R48" s="196"/>
      <c r="S48" s="140"/>
      <c r="T48" s="140"/>
      <c r="U48" s="140"/>
    </row>
    <row r="49" spans="1:21" x14ac:dyDescent="0.25">
      <c r="A49" s="70"/>
      <c r="B49" s="140"/>
      <c r="C49" s="140"/>
      <c r="D49" s="140"/>
      <c r="E49" s="140"/>
      <c r="F49" s="140"/>
      <c r="G49" s="140"/>
      <c r="H49" s="140"/>
      <c r="I49" s="140"/>
      <c r="J49" s="197">
        <f>G29</f>
        <v>0</v>
      </c>
      <c r="K49" s="140"/>
      <c r="L49" s="140"/>
      <c r="M49" s="140"/>
      <c r="N49" s="140"/>
      <c r="O49" s="140"/>
      <c r="P49" s="140"/>
      <c r="Q49" s="140"/>
      <c r="R49" s="196"/>
      <c r="S49" s="140"/>
      <c r="T49" s="140"/>
      <c r="U49" s="140"/>
    </row>
    <row r="50" spans="1:21" x14ac:dyDescent="0.25">
      <c r="A50" s="70"/>
      <c r="B50" s="140"/>
      <c r="C50" s="140"/>
      <c r="D50" s="140"/>
      <c r="E50" s="140"/>
      <c r="F50" s="140"/>
      <c r="G50" s="140"/>
      <c r="H50" s="140"/>
      <c r="I50" s="140"/>
      <c r="J50" s="197">
        <f>IF(OR(J49="Fyringsolie",J49="Naturgas",J49="Kul og koks",J49="Flis",J49="Træpiller",J49="Halm",J49="Kul/koks"),1,0)</f>
        <v>0</v>
      </c>
      <c r="K50" s="140"/>
      <c r="L50" s="140"/>
      <c r="M50" s="140"/>
      <c r="N50" s="140"/>
      <c r="O50" s="140"/>
      <c r="P50" s="140"/>
      <c r="Q50" s="140"/>
      <c r="R50" s="196"/>
      <c r="S50" s="140"/>
      <c r="T50" s="140"/>
      <c r="U50" s="140"/>
    </row>
    <row r="51" spans="1:21" x14ac:dyDescent="0.25">
      <c r="A51" s="70"/>
      <c r="B51" s="140"/>
      <c r="C51" s="140"/>
      <c r="D51" s="140"/>
      <c r="E51" s="140"/>
      <c r="F51" s="140"/>
      <c r="G51" s="140"/>
      <c r="H51" s="140"/>
      <c r="I51" s="140"/>
      <c r="J51" s="197">
        <f>IF(OR(J49="Fyringsolie",J49="Naturgas",J49="Kul og koks",J49="Flis",J49="Træpiller",J49="Halm",J49="Kul/koks"),1,0)</f>
        <v>0</v>
      </c>
      <c r="K51" s="140"/>
      <c r="L51" s="140"/>
      <c r="M51" s="140"/>
      <c r="N51" s="140"/>
      <c r="O51" s="140"/>
      <c r="P51" s="140"/>
      <c r="Q51" s="140"/>
      <c r="R51" s="199"/>
      <c r="S51" s="140"/>
      <c r="T51" s="140"/>
      <c r="U51" s="140"/>
    </row>
    <row r="52" spans="1:21" x14ac:dyDescent="0.25">
      <c r="A52" s="70"/>
      <c r="B52" s="140"/>
      <c r="C52" s="140"/>
      <c r="D52" s="140"/>
      <c r="E52" s="140"/>
      <c r="F52" s="140"/>
      <c r="G52" s="140"/>
      <c r="H52" s="140"/>
      <c r="I52" s="140"/>
      <c r="J52" s="197">
        <f>IF(OR(G29="Fjernvarme",G29="Elkedel"),1,0)</f>
        <v>0</v>
      </c>
      <c r="K52" s="140"/>
      <c r="L52" s="140"/>
      <c r="M52" s="140"/>
      <c r="N52" s="140"/>
      <c r="O52" s="140"/>
      <c r="P52" s="140"/>
      <c r="Q52" s="140"/>
      <c r="R52" s="199"/>
      <c r="S52" s="140"/>
      <c r="T52" s="140"/>
      <c r="U52" s="140"/>
    </row>
    <row r="53" spans="1:21" x14ac:dyDescent="0.25">
      <c r="A53" s="140"/>
      <c r="B53" s="140"/>
      <c r="C53" s="140"/>
      <c r="D53" s="140"/>
      <c r="E53" s="140"/>
      <c r="F53" s="140"/>
      <c r="G53" s="140"/>
      <c r="H53" s="140"/>
      <c r="I53" s="140"/>
      <c r="J53" s="140"/>
      <c r="K53" s="140"/>
      <c r="L53" s="140"/>
      <c r="M53" s="140"/>
      <c r="N53" s="140"/>
      <c r="O53" s="140"/>
      <c r="P53" s="140"/>
      <c r="Q53" s="140"/>
      <c r="R53" s="140"/>
      <c r="S53" s="140"/>
      <c r="T53" s="140"/>
      <c r="U53" s="140"/>
    </row>
    <row r="54" spans="1:21" x14ac:dyDescent="0.25">
      <c r="A54" s="140"/>
      <c r="B54" s="140"/>
      <c r="C54" s="140"/>
      <c r="D54" s="140"/>
      <c r="E54" s="140"/>
      <c r="F54" s="140"/>
      <c r="G54" s="140"/>
      <c r="H54" s="140"/>
      <c r="I54" s="140"/>
      <c r="J54" s="140"/>
      <c r="K54" s="140"/>
      <c r="L54" s="140"/>
      <c r="M54" s="140"/>
      <c r="N54" s="140"/>
      <c r="O54" s="140"/>
      <c r="P54" s="140"/>
      <c r="Q54" s="140"/>
      <c r="R54" s="140"/>
      <c r="S54" s="140"/>
      <c r="T54" s="140"/>
      <c r="U54" s="140"/>
    </row>
    <row r="55" spans="1:21" x14ac:dyDescent="0.25">
      <c r="A55" s="140"/>
      <c r="B55" s="140"/>
      <c r="C55" s="140"/>
      <c r="D55" s="140"/>
      <c r="E55" s="140"/>
      <c r="F55" s="140"/>
      <c r="G55" s="140"/>
      <c r="H55" s="140"/>
      <c r="I55" s="140"/>
      <c r="J55" s="140"/>
      <c r="K55" s="140"/>
      <c r="L55" s="140"/>
      <c r="M55" s="140"/>
      <c r="N55" s="140"/>
      <c r="O55" s="140"/>
      <c r="P55" s="140"/>
      <c r="Q55" s="140"/>
      <c r="R55" s="140"/>
      <c r="S55" s="140"/>
      <c r="T55" s="140"/>
      <c r="U55" s="140"/>
    </row>
  </sheetData>
  <sheetProtection algorithmName="SHA-512" hashValue="ByqQB3qISqPcB2J8JG8rWrBmx3tqPhmof8nvkT2pyZPkybm+AbZuZmA572U4iGALb4BFzKYYv1jMwLsI9JGk3Q==" saltValue="3WdjF2sgHdniwLCxj22VeA==" spinCount="100000" sheet="1" selectLockedCells="1"/>
  <mergeCells count="29">
    <mergeCell ref="C13:L13"/>
    <mergeCell ref="B1:C2"/>
    <mergeCell ref="D1:E2"/>
    <mergeCell ref="C19:F19"/>
    <mergeCell ref="G19:H19"/>
    <mergeCell ref="B6:L7"/>
    <mergeCell ref="C8:L8"/>
    <mergeCell ref="G33:H33"/>
    <mergeCell ref="G20:H20"/>
    <mergeCell ref="B16:I16"/>
    <mergeCell ref="G22:H22"/>
    <mergeCell ref="G18:H18"/>
    <mergeCell ref="G23:H23"/>
    <mergeCell ref="B34:H34"/>
    <mergeCell ref="B45:E45"/>
    <mergeCell ref="C26:F26"/>
    <mergeCell ref="G24:H24"/>
    <mergeCell ref="C24:F24"/>
    <mergeCell ref="C25:F25"/>
    <mergeCell ref="G25:H25"/>
    <mergeCell ref="B35:H35"/>
    <mergeCell ref="C29:F29"/>
    <mergeCell ref="G29:H29"/>
    <mergeCell ref="G30:H30"/>
    <mergeCell ref="C31:F31"/>
    <mergeCell ref="G31:H31"/>
    <mergeCell ref="C32:F32"/>
    <mergeCell ref="G32:H32"/>
    <mergeCell ref="C33:F33"/>
  </mergeCells>
  <conditionalFormatting sqref="J15:K15 K15:Q24">
    <cfRule type="iconSet" priority="35">
      <iconSet iconSet="3Symbols2">
        <cfvo type="percent" val="0"/>
        <cfvo type="percent" val="33"/>
        <cfvo type="percent" val="67"/>
      </iconSet>
    </cfRule>
  </conditionalFormatting>
  <conditionalFormatting sqref="G33:H33">
    <cfRule type="expression" dxfId="153" priority="33">
      <formula>$G$29="Varmepumpe"</formula>
    </cfRule>
  </conditionalFormatting>
  <dataValidations count="5">
    <dataValidation type="decimal" allowBlank="1" showInputMessage="1" showErrorMessage="1" error="Kedlens varmeydelse må ikke være større end 1000 kW." prompt="Indtast effekt/varmeydelse på kedlen. Denne kan typisk findes i datablad eller på kedlens mærkeplade." sqref="G25:H25">
      <formula1>0</formula1>
      <formula2>1000</formula2>
    </dataValidation>
    <dataValidation type="whole" allowBlank="1" showInputMessage="1" showErrorMessage="1" prompt="Den nye virkningsgrad  kan f.eks. findes i kedlens datablad. Hvis der ikke er valgt en specifik kedel  kan virkningsgraderne fra tabel 1 i vejledningen benyttes" sqref="G31:H31">
      <formula1>50</formula1>
      <formula2>105</formula2>
    </dataValidation>
    <dataValidation type="whole" allowBlank="1" showInputMessage="1" showErrorMessage="1" error="Kedlens varmeydelse må ikke være større end 1000 kW." prompt="Størrelsen på den forventede nye brændselskedel" sqref="G30:H30">
      <formula1>0</formula1>
      <formula2>1000</formula2>
    </dataValidation>
    <dataValidation allowBlank="1" showInputMessage="1" showErrorMessage="1" prompt="Indtast arealet på bygning. Arealet må kun benyttes til erhverv og skal fremgå af BBR" sqref="G19:H19"/>
    <dataValidation allowBlank="1" showInputMessage="1" showErrorMessage="1" prompt="SCOP kan findes i datablad for varmepumpe eller i tabel 2 i vejledningen. Hvis varmen afsættes i gulvarmesystem vælges SCOP ved 30 grader ellers vælges SCOP ved 60 grader" sqref="G33:H33"/>
  </dataValidations>
  <hyperlinks>
    <hyperlink ref="Q46" location="Forside!A1" display="Retur"/>
    <hyperlink ref="B1:C2" location="Forside!A1" display="Forside"/>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9224" r:id="rId4">
          <objectPr defaultSize="0" autoPict="0" r:id="rId5">
            <anchor moveWithCells="1">
              <from>
                <xdr:col>15</xdr:col>
                <xdr:colOff>219075</xdr:colOff>
                <xdr:row>47</xdr:row>
                <xdr:rowOff>104775</xdr:rowOff>
              </from>
              <to>
                <xdr:col>17</xdr:col>
                <xdr:colOff>28575</xdr:colOff>
                <xdr:row>53</xdr:row>
                <xdr:rowOff>57150</xdr:rowOff>
              </to>
            </anchor>
          </objectPr>
        </oleObject>
      </mc:Choice>
      <mc:Fallback>
        <oleObject progId="AcroExch.Document.DC" dvAspect="DVASPECT_ICON" shapeId="9224"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24" id="{B341AFF4-0D5E-4C24-81F1-EE58DB28FCDA}">
            <xm:f>'Tiltag 1'!$G$33=""</xm:f>
            <x14:dxf>
              <border>
                <left style="thin">
                  <color auto="1"/>
                </left>
                <right style="thin">
                  <color auto="1"/>
                </right>
                <top style="thin">
                  <color auto="1"/>
                </top>
                <bottom style="thin">
                  <color auto="1"/>
                </bottom>
                <vertical/>
                <horizontal/>
              </border>
            </x14:dxf>
          </x14:cfRule>
          <xm:sqref>G29:H29</xm:sqref>
        </x14:conditionalFormatting>
        <x14:conditionalFormatting xmlns:xm="http://schemas.microsoft.com/office/excel/2006/main">
          <x14:cfRule type="iconSet" priority="34" id="{8E0FDB11-EAB0-4E25-ADFB-29A930091DFE}">
            <x14:iconSet iconSet="3Symbols2" custom="1">
              <x14:cfvo type="percent">
                <xm:f>0</xm:f>
              </x14:cfvo>
              <x14:cfvo type="num">
                <xm:f>-0.5</xm:f>
              </x14:cfvo>
              <x14:cfvo type="num">
                <xm:f>0.5</xm:f>
              </x14:cfvo>
              <x14:cfIcon iconSet="3Symbols2" iconId="0"/>
              <x14:cfIcon iconSet="3Symbols2" iconId="1"/>
              <x14:cfIcon iconSet="3Symbols2" iconId="2"/>
            </x14:iconSet>
          </x14:cfRule>
          <xm:sqref>I14</xm:sqref>
        </x14:conditionalFormatting>
        <x14:conditionalFormatting xmlns:xm="http://schemas.microsoft.com/office/excel/2006/main">
          <x14:cfRule type="expression" priority="11" id="{FCE84624-9987-4E71-AD32-8D5EC5737A6C}">
            <xm:f>'Tiltag 1'!#REF!="Ja"</xm:f>
            <x14:dxf>
              <fill>
                <patternFill>
                  <bgColor rgb="FFFFFF00"/>
                </patternFill>
              </fill>
              <border>
                <left style="thin">
                  <color auto="1"/>
                </left>
                <right style="thin">
                  <color auto="1"/>
                </right>
                <top style="thin">
                  <color auto="1"/>
                </top>
                <bottom style="thin">
                  <color auto="1"/>
                </bottom>
                <vertical/>
                <horizontal/>
              </border>
            </x14:dxf>
          </x14:cfRule>
          <x14:cfRule type="expression" priority="12" id="{53E91024-7537-4EF5-B06F-F4BA051CC33B}">
            <xm:f>'Tiltag 1'!#REF!="Nej"</xm:f>
            <x14:dxf>
              <fill>
                <patternFill>
                  <bgColor theme="9" tint="0.59996337778862885"/>
                </patternFill>
              </fill>
            </x14:dxf>
          </x14:cfRule>
          <xm:sqref>I21</xm:sqref>
        </x14:conditionalFormatting>
        <x14:conditionalFormatting xmlns:xm="http://schemas.microsoft.com/office/excel/2006/main">
          <x14:cfRule type="expression" priority="9" id="{37A1E435-0EFD-4506-8576-11546E709623}">
            <xm:f>'Tiltag 1'!#REF!="Ja"</xm:f>
            <x14:dxf>
              <fill>
                <patternFill>
                  <bgColor rgb="FFFFFF00"/>
                </patternFill>
              </fill>
              <border>
                <left style="thin">
                  <color auto="1"/>
                </left>
                <right style="thin">
                  <color auto="1"/>
                </right>
                <top style="thin">
                  <color auto="1"/>
                </top>
                <bottom style="thin">
                  <color auto="1"/>
                </bottom>
                <vertical/>
                <horizontal/>
              </border>
            </x14:dxf>
          </x14:cfRule>
          <x14:cfRule type="expression" priority="10" id="{3B6FC419-C837-4F16-A2C2-1BA392452328}">
            <xm:f>'Tiltag 1'!#REF!="Nej"</xm:f>
            <x14:dxf>
              <fill>
                <patternFill>
                  <bgColor theme="9" tint="0.59996337778862885"/>
                </patternFill>
              </fill>
            </x14:dxf>
          </x14:cfRule>
          <xm:sqref>G21:H21</xm:sqref>
        </x14:conditionalFormatting>
        <x14:conditionalFormatting xmlns:xm="http://schemas.microsoft.com/office/excel/2006/main">
          <x14:cfRule type="expression" priority="7" id="{6B3BF481-086E-4C86-8335-94B18D66C7A4}">
            <xm:f>'Tiltag 1'!#REF!="Ja"</xm:f>
            <x14:dxf>
              <fill>
                <patternFill>
                  <bgColor rgb="FFFFFF00"/>
                </patternFill>
              </fill>
              <border>
                <left style="thin">
                  <color auto="1"/>
                </left>
                <right style="thin">
                  <color auto="1"/>
                </right>
                <top style="thin">
                  <color auto="1"/>
                </top>
                <bottom style="thin">
                  <color auto="1"/>
                </bottom>
                <vertical/>
                <horizontal/>
              </border>
            </x14:dxf>
          </x14:cfRule>
          <x14:cfRule type="expression" priority="8" id="{79D35C78-3319-4A08-BBD4-C4CF8F7E1570}">
            <xm:f>'Tiltag 1'!#REF!="Nej"</xm:f>
            <x14:dxf>
              <fill>
                <patternFill>
                  <bgColor theme="9" tint="0.59996337778862885"/>
                </patternFill>
              </fill>
            </x14:dxf>
          </x14:cfRule>
          <xm:sqref>B20:G20</xm:sqref>
        </x14:conditionalFormatting>
        <x14:conditionalFormatting xmlns:xm="http://schemas.microsoft.com/office/excel/2006/main">
          <x14:cfRule type="expression" priority="4" id="{29883184-F589-47B2-A63F-6CCFA4DD2DE3}">
            <xm:f>Nøgletal!$Q$44="Kedel"</xm:f>
            <x14:dxf>
              <fill>
                <patternFill>
                  <bgColor theme="2"/>
                </patternFill>
              </fill>
              <border>
                <left style="thin">
                  <color auto="1"/>
                </left>
                <right style="thin">
                  <color auto="1"/>
                </right>
                <top style="thin">
                  <color auto="1"/>
                </top>
                <bottom style="thin">
                  <color auto="1"/>
                </bottom>
                <vertical/>
                <horizontal/>
              </border>
            </x14:dxf>
          </x14:cfRule>
          <xm:sqref>G32:H32</xm:sqref>
        </x14:conditionalFormatting>
        <x14:conditionalFormatting xmlns:xm="http://schemas.microsoft.com/office/excel/2006/main">
          <x14:cfRule type="expression" priority="3" id="{04355BF4-0E91-4E16-AAFA-FF8E992A979D}">
            <xm:f>Nøgletal!$Q$44="Kedel"</xm:f>
            <x14:dxf>
              <font>
                <color theme="1"/>
              </font>
              <fill>
                <patternFill>
                  <bgColor rgb="FFFFFF00"/>
                </patternFill>
              </fill>
              <border>
                <left style="thin">
                  <color auto="1"/>
                </left>
                <right style="thin">
                  <color auto="1"/>
                </right>
                <top style="thin">
                  <color auto="1"/>
                </top>
                <bottom style="thin">
                  <color auto="1"/>
                </bottom>
                <vertical/>
                <horizontal/>
              </border>
            </x14:dxf>
          </x14:cfRule>
          <xm:sqref>G30:H31</xm:sqref>
        </x14:conditionalFormatting>
        <x14:conditionalFormatting xmlns:xm="http://schemas.microsoft.com/office/excel/2006/main">
          <x14:cfRule type="iconSet" priority="106" id="{66855690-64D5-4EE6-84FE-5C8CCD04CBDC}">
            <x14:iconSet iconSet="3Symbols2" custom="1">
              <x14:cfvo type="percent">
                <xm:f>0</xm:f>
              </x14:cfvo>
              <x14:cfvo type="num">
                <xm:f>-0.5</xm:f>
              </x14:cfvo>
              <x14:cfvo type="num">
                <xm:f>0.5</xm:f>
              </x14:cfvo>
              <x14:cfIcon iconSet="3Symbols2" iconId="0"/>
              <x14:cfIcon iconSet="3Symbols2" iconId="1"/>
              <x14:cfIcon iconSet="3Symbols2" iconId="2"/>
            </x14:iconSet>
          </x14:cfRule>
          <xm:sqref>O8:O13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'Forbrugsberegner 2'!$E$109:$E$113</xm:f>
          </x14:formula1>
          <xm:sqref>G29:H29</xm:sqref>
        </x14:dataValidation>
        <x14:dataValidation type="list" allowBlank="1" showInputMessage="1" showErrorMessage="1" prompt="Her vælges bygningens anvendelsesformål">
          <x14:formula1>
            <xm:f>Nøgletal!$B$7:$B$11</xm:f>
          </x14:formula1>
          <xm:sqref>G20:H20</xm:sqref>
        </x14:dataValidation>
        <x14:dataValidation type="list" allowBlank="1" showInputMessage="1" showErrorMessage="1" prompt="Indtast nuværende kedel/kalorifer.">
          <x14:formula1>
            <xm:f>'Forbrugsberegner 2'!$E$95:$E$101</xm:f>
          </x14:formula1>
          <xm:sqref>G23:H23</xm:sqref>
        </x14:dataValidation>
        <x14:dataValidation type="list" allowBlank="1" showInputMessage="1" showErrorMessage="1">
          <x14:formula1>
            <xm:f>'Forbrugsberegner 1'!$H$1:$H$2</xm:f>
          </x14:formula1>
          <xm:sqref>M8:M13</xm:sqref>
        </x14:dataValidation>
        <x14:dataValidation type="whole" allowBlank="1" showInputMessage="1" showErrorMessage="1" prompt="Indtast årgang for eksisterende kedel/ kalorifer. Årstallet kan typisk findes på kedlens/ kaloriferens mærkeplade. Hvis ansøger har to kedler eller kalorifer med samme brændsel kan en gennemsnit af årstallet benyttes">
          <x14:formula1>
            <xm:f>1950</xm:f>
          </x14:formula1>
          <x14:formula2>
            <xm:f>'Forbrugsberegner 2'!C17-2</xm:f>
          </x14:formula2>
          <xm:sqref>G24:H24</xm:sqref>
        </x14:dataValidation>
        <x14:dataValidation type="whole" allowBlank="1" showInputMessage="1" showErrorMessage="1" error="Kedlen skal være fra perioden 1950-2020" prompt="Indtast årstal for, hvornår bygningen er opført eller senest renoveret. Den nyeste årgang skal altid indtastes og stemme overens med BBR">
          <x14:formula1>
            <xm:f>1700</xm:f>
          </x14:formula1>
          <x14:formula2>
            <xm:f>'Forbrugsberegner 1'!C17-2</xm:f>
          </x14:formula2>
          <xm:sqref>G18:H18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sheetPr>
  <dimension ref="A1:AB67"/>
  <sheetViews>
    <sheetView topLeftCell="A25" zoomScale="70" zoomScaleNormal="70" workbookViewId="0">
      <selection activeCell="I49" sqref="I49"/>
    </sheetView>
  </sheetViews>
  <sheetFormatPr defaultColWidth="10.42578125" defaultRowHeight="12.75" customHeight="1" x14ac:dyDescent="0.15"/>
  <cols>
    <col min="1" max="1" width="3.5703125" style="356" customWidth="1"/>
    <col min="2" max="2" width="4.42578125" style="356" customWidth="1"/>
    <col min="3" max="3" width="8" style="356" customWidth="1"/>
    <col min="4" max="4" width="14.85546875" style="356" customWidth="1"/>
    <col min="5" max="5" width="9.140625" style="356" customWidth="1"/>
    <col min="6" max="6" width="11" style="356" customWidth="1"/>
    <col min="7" max="7" width="5.85546875" style="356" customWidth="1"/>
    <col min="8" max="8" width="20.140625" style="356" customWidth="1"/>
    <col min="9" max="9" width="20.28515625" style="356" customWidth="1"/>
    <col min="10" max="10" width="2.5703125" style="356" customWidth="1"/>
    <col min="11" max="11" width="5" style="356" customWidth="1"/>
    <col min="12" max="12" width="4.140625" style="356" customWidth="1"/>
    <col min="13" max="13" width="15" style="356" customWidth="1"/>
    <col min="14" max="14" width="10.85546875" style="356" customWidth="1"/>
    <col min="15" max="15" width="19.42578125" style="356" customWidth="1"/>
    <col min="16" max="16" width="12" style="356" customWidth="1"/>
    <col min="17" max="17" width="12.140625" style="356" customWidth="1"/>
    <col min="18" max="18" width="9.85546875" style="356" customWidth="1"/>
    <col min="19" max="20" width="2.5703125" style="356" customWidth="1"/>
    <col min="21" max="21" width="10.42578125" style="356"/>
    <col min="22" max="22" width="10.85546875" style="356" bestFit="1" customWidth="1"/>
    <col min="23" max="16384" width="10.42578125" style="356"/>
  </cols>
  <sheetData>
    <row r="1" spans="1:28" ht="12.75" customHeight="1" x14ac:dyDescent="0.25">
      <c r="A1" s="350"/>
      <c r="B1" s="351"/>
      <c r="C1" s="351"/>
      <c r="D1" s="351"/>
      <c r="E1" s="351"/>
      <c r="F1" s="351"/>
      <c r="G1" s="351"/>
      <c r="H1" s="351"/>
      <c r="I1" s="352"/>
      <c r="J1" s="353"/>
      <c r="K1" s="353"/>
      <c r="L1" s="353"/>
      <c r="M1" s="69"/>
      <c r="N1" s="70"/>
      <c r="O1" s="70"/>
      <c r="P1" s="99"/>
      <c r="Q1" s="99"/>
      <c r="R1" s="99"/>
      <c r="S1" s="354"/>
      <c r="T1" s="355"/>
    </row>
    <row r="2" spans="1:28" ht="12.75" customHeight="1" x14ac:dyDescent="0.25">
      <c r="A2" s="353"/>
      <c r="B2" s="603" t="str">
        <f>Beskrivelse!C16</f>
        <v xml:space="preserve">Tiltag 3 Udskifning af brændselskedler - Konventionelle grisestalde </v>
      </c>
      <c r="C2" s="603"/>
      <c r="D2" s="603"/>
      <c r="E2" s="603"/>
      <c r="F2" s="603"/>
      <c r="G2" s="603"/>
      <c r="H2" s="603"/>
      <c r="I2" s="603"/>
      <c r="J2" s="353"/>
      <c r="K2" s="604" t="s">
        <v>330</v>
      </c>
      <c r="L2" s="604"/>
      <c r="M2" s="604"/>
      <c r="N2" s="604"/>
      <c r="O2" s="604"/>
      <c r="P2" s="604"/>
      <c r="Q2" s="71"/>
      <c r="R2" s="71"/>
      <c r="S2" s="354"/>
      <c r="T2" s="355"/>
    </row>
    <row r="3" spans="1:28" ht="24" customHeight="1" x14ac:dyDescent="0.25">
      <c r="A3" s="357"/>
      <c r="B3" s="603"/>
      <c r="C3" s="603"/>
      <c r="D3" s="603"/>
      <c r="E3" s="603"/>
      <c r="F3" s="603"/>
      <c r="G3" s="603"/>
      <c r="H3" s="603"/>
      <c r="I3" s="603"/>
      <c r="J3" s="353"/>
      <c r="K3" s="604"/>
      <c r="L3" s="604"/>
      <c r="M3" s="604"/>
      <c r="N3" s="604"/>
      <c r="O3" s="604"/>
      <c r="P3" s="604"/>
      <c r="Q3" s="70"/>
      <c r="R3" s="70"/>
      <c r="S3" s="75"/>
      <c r="T3" s="355"/>
    </row>
    <row r="4" spans="1:28" ht="13.35" customHeight="1" x14ac:dyDescent="0.25">
      <c r="A4" s="357"/>
      <c r="B4" s="358"/>
      <c r="C4" s="359"/>
      <c r="D4" s="353"/>
      <c r="E4" s="353"/>
      <c r="F4" s="358"/>
      <c r="G4" s="358"/>
      <c r="H4" s="353"/>
      <c r="I4" s="353"/>
      <c r="J4" s="353"/>
      <c r="K4" s="74" t="s">
        <v>73</v>
      </c>
      <c r="L4" s="70"/>
      <c r="M4" s="70"/>
      <c r="N4" s="70"/>
      <c r="O4" s="70"/>
      <c r="P4" s="70"/>
      <c r="Q4" s="70"/>
      <c r="R4" s="70"/>
      <c r="S4" s="75"/>
      <c r="T4" s="355"/>
    </row>
    <row r="5" spans="1:28" ht="12.75" customHeight="1" x14ac:dyDescent="0.15">
      <c r="A5" s="360"/>
      <c r="B5" s="360"/>
      <c r="C5" s="360"/>
      <c r="D5" s="360"/>
      <c r="E5" s="360"/>
      <c r="F5" s="360"/>
      <c r="G5" s="360"/>
      <c r="H5" s="360"/>
      <c r="I5" s="360"/>
      <c r="J5" s="360"/>
      <c r="K5" s="360"/>
      <c r="L5" s="360"/>
      <c r="M5" s="360"/>
      <c r="N5" s="360"/>
      <c r="O5" s="360"/>
      <c r="P5" s="360"/>
      <c r="Q5" s="360"/>
      <c r="R5" s="360"/>
      <c r="S5" s="360"/>
      <c r="T5" s="360"/>
    </row>
    <row r="6" spans="1:28" ht="18" x14ac:dyDescent="0.25">
      <c r="A6" s="70"/>
      <c r="B6" s="587" t="s">
        <v>17</v>
      </c>
      <c r="C6" s="587"/>
      <c r="D6" s="587"/>
      <c r="E6" s="587"/>
      <c r="F6" s="587"/>
      <c r="G6" s="587"/>
      <c r="H6" s="587"/>
      <c r="I6" s="587"/>
      <c r="J6" s="587"/>
      <c r="K6" s="587"/>
      <c r="L6" s="587"/>
      <c r="M6" s="587"/>
      <c r="N6" s="353"/>
      <c r="O6" s="361"/>
      <c r="P6" s="353"/>
      <c r="Q6" s="353"/>
      <c r="R6" s="353"/>
      <c r="S6" s="355"/>
      <c r="T6" s="355"/>
    </row>
    <row r="7" spans="1:28" ht="12.75" customHeight="1" x14ac:dyDescent="0.25">
      <c r="A7" s="70"/>
      <c r="B7" s="587"/>
      <c r="C7" s="587"/>
      <c r="D7" s="587"/>
      <c r="E7" s="587"/>
      <c r="F7" s="587"/>
      <c r="G7" s="587"/>
      <c r="H7" s="587"/>
      <c r="I7" s="587"/>
      <c r="J7" s="587"/>
      <c r="K7" s="587"/>
      <c r="L7" s="587"/>
      <c r="M7" s="587"/>
      <c r="N7" s="362"/>
      <c r="O7" s="363"/>
      <c r="P7" s="363"/>
      <c r="Q7" s="363"/>
      <c r="R7" s="363"/>
      <c r="S7" s="355"/>
      <c r="T7" s="355"/>
    </row>
    <row r="8" spans="1:28" ht="12.75" customHeight="1" x14ac:dyDescent="0.25">
      <c r="A8" s="70"/>
      <c r="B8" s="147" t="s">
        <v>18</v>
      </c>
      <c r="C8" s="605" t="s">
        <v>227</v>
      </c>
      <c r="D8" s="605"/>
      <c r="E8" s="605"/>
      <c r="F8" s="605"/>
      <c r="G8" s="605"/>
      <c r="H8" s="605"/>
      <c r="I8" s="605"/>
      <c r="J8" s="605"/>
      <c r="K8" s="605"/>
      <c r="L8" s="605"/>
      <c r="M8" s="605"/>
      <c r="N8" s="364"/>
      <c r="O8" s="364"/>
      <c r="P8" s="364"/>
      <c r="Q8" s="489" t="s">
        <v>19</v>
      </c>
      <c r="R8" s="285"/>
      <c r="S8" s="137">
        <f>IF(R8="",0,IF(R8=Q8,1,-1))</f>
        <v>0</v>
      </c>
      <c r="T8" s="355"/>
    </row>
    <row r="9" spans="1:28" ht="12.75" customHeight="1" x14ac:dyDescent="0.25">
      <c r="A9" s="70"/>
      <c r="B9" s="147" t="s">
        <v>18</v>
      </c>
      <c r="C9" s="487" t="s">
        <v>356</v>
      </c>
      <c r="D9" s="475"/>
      <c r="E9" s="475"/>
      <c r="F9" s="475"/>
      <c r="G9" s="475"/>
      <c r="H9" s="475"/>
      <c r="I9" s="475"/>
      <c r="J9" s="475"/>
      <c r="K9" s="475"/>
      <c r="L9" s="475"/>
      <c r="M9" s="475"/>
      <c r="N9" s="475"/>
      <c r="O9" s="475"/>
      <c r="P9" s="475"/>
      <c r="Q9" s="489" t="s">
        <v>352</v>
      </c>
      <c r="R9" s="285"/>
      <c r="S9" s="137">
        <f>IF(R9="",0,IF(R9=Q9,1,-1))</f>
        <v>0</v>
      </c>
      <c r="T9" s="355"/>
    </row>
    <row r="10" spans="1:28" ht="12.75" customHeight="1" x14ac:dyDescent="0.25">
      <c r="A10" s="70"/>
      <c r="B10" s="147" t="s">
        <v>18</v>
      </c>
      <c r="C10" s="475" t="s">
        <v>351</v>
      </c>
      <c r="D10" s="475"/>
      <c r="E10" s="475"/>
      <c r="F10" s="475"/>
      <c r="G10" s="475"/>
      <c r="H10" s="475"/>
      <c r="I10" s="475"/>
      <c r="J10" s="475"/>
      <c r="K10" s="475"/>
      <c r="L10" s="475"/>
      <c r="M10" s="475"/>
      <c r="N10" s="475"/>
      <c r="O10" s="475"/>
      <c r="P10" s="475"/>
      <c r="Q10" s="489" t="s">
        <v>352</v>
      </c>
      <c r="R10" s="285"/>
      <c r="S10" s="137">
        <f t="shared" ref="S10" si="0">IF(R10="",0,IF(R10=Q10,1,-1))</f>
        <v>0</v>
      </c>
      <c r="T10" s="355"/>
    </row>
    <row r="11" spans="1:28" ht="12.75" customHeight="1" x14ac:dyDescent="0.25">
      <c r="A11" s="70"/>
      <c r="B11" s="147" t="s">
        <v>18</v>
      </c>
      <c r="C11" s="485" t="s">
        <v>354</v>
      </c>
      <c r="D11" s="364"/>
      <c r="E11" s="364"/>
      <c r="F11" s="364"/>
      <c r="G11" s="364"/>
      <c r="H11" s="364"/>
      <c r="I11" s="364"/>
      <c r="J11" s="364"/>
      <c r="K11" s="364"/>
      <c r="L11" s="364"/>
      <c r="M11" s="364"/>
      <c r="N11" s="364"/>
      <c r="O11" s="364"/>
      <c r="P11" s="364"/>
      <c r="Q11" s="489" t="s">
        <v>352</v>
      </c>
      <c r="R11" s="285"/>
      <c r="S11" s="137">
        <f>IF(R11="",0,IF(R11=Q11,1,-1))</f>
        <v>0</v>
      </c>
      <c r="T11" s="355"/>
    </row>
    <row r="12" spans="1:28" ht="8.25" customHeight="1" x14ac:dyDescent="0.25">
      <c r="A12" s="70"/>
      <c r="B12" s="147"/>
      <c r="C12" s="365"/>
      <c r="D12" s="365"/>
      <c r="E12" s="365"/>
      <c r="F12" s="365"/>
      <c r="G12" s="365"/>
      <c r="H12" s="365"/>
      <c r="I12" s="365"/>
      <c r="J12" s="365"/>
      <c r="K12" s="365"/>
      <c r="L12" s="365"/>
      <c r="M12" s="364"/>
      <c r="N12" s="364"/>
      <c r="O12" s="364"/>
      <c r="P12" s="364"/>
      <c r="Q12" s="364"/>
      <c r="R12" s="137"/>
      <c r="S12" s="137"/>
      <c r="T12" s="355"/>
    </row>
    <row r="13" spans="1:28" ht="18.75" customHeight="1" x14ac:dyDescent="0.25">
      <c r="A13" s="70"/>
      <c r="B13" s="182"/>
      <c r="C13" s="477" t="str">
        <f>IF(I13=0,"Spørgsmål om afgrænsning er ikke besvaret",IF(I13=1,"Projektet er omfattet af standardløsningen","Projektet er IKKE omfattet af standardløsningen"))</f>
        <v>Spørgsmål om afgrænsning er ikke besvaret</v>
      </c>
      <c r="D13" s="478"/>
      <c r="E13" s="478"/>
      <c r="F13" s="478"/>
      <c r="G13" s="478"/>
      <c r="H13" s="478"/>
      <c r="I13" s="495">
        <f>MIN(S8:S11)</f>
        <v>0</v>
      </c>
      <c r="J13" s="478"/>
      <c r="K13" s="478"/>
      <c r="L13" s="478"/>
      <c r="M13" s="479"/>
      <c r="N13" s="479"/>
      <c r="O13" s="479"/>
      <c r="P13" s="479"/>
      <c r="Q13" s="479"/>
      <c r="R13" s="479"/>
      <c r="S13" s="479"/>
      <c r="T13" s="355"/>
    </row>
    <row r="14" spans="1:28" ht="15.75" customHeight="1" x14ac:dyDescent="0.25">
      <c r="A14" s="353"/>
      <c r="B14" s="366"/>
      <c r="C14" s="361"/>
      <c r="D14" s="361"/>
      <c r="E14" s="361"/>
      <c r="F14" s="361"/>
      <c r="G14" s="361"/>
      <c r="H14" s="361"/>
      <c r="I14" s="361"/>
      <c r="J14" s="367"/>
      <c r="K14" s="353"/>
      <c r="L14" s="355"/>
      <c r="M14" s="355"/>
      <c r="N14" s="355"/>
      <c r="O14" s="355"/>
      <c r="P14" s="355"/>
      <c r="Q14" s="355"/>
      <c r="R14" s="355"/>
      <c r="S14" s="355"/>
      <c r="T14" s="355"/>
    </row>
    <row r="15" spans="1:28" s="369" customFormat="1" ht="18" customHeight="1" x14ac:dyDescent="0.25">
      <c r="A15" s="368"/>
      <c r="B15" s="603" t="s">
        <v>21</v>
      </c>
      <c r="C15" s="603"/>
      <c r="D15" s="603"/>
      <c r="E15" s="603"/>
      <c r="F15" s="603"/>
      <c r="G15" s="603"/>
      <c r="H15" s="603"/>
      <c r="I15" s="603"/>
      <c r="J15" s="603"/>
      <c r="K15" s="368"/>
      <c r="L15" s="327" t="s">
        <v>24</v>
      </c>
      <c r="M15" s="355"/>
      <c r="N15" s="355"/>
      <c r="O15" s="355"/>
      <c r="P15" s="355"/>
      <c r="Q15" s="355"/>
      <c r="R15" s="355"/>
      <c r="S15" s="355"/>
      <c r="T15" s="355"/>
      <c r="U15" s="356"/>
      <c r="V15" s="356"/>
      <c r="W15" s="356"/>
      <c r="X15" s="356"/>
      <c r="Y15" s="356"/>
      <c r="Z15" s="356"/>
      <c r="AA15" s="356"/>
      <c r="AB15" s="356"/>
    </row>
    <row r="16" spans="1:28" ht="18" x14ac:dyDescent="0.25">
      <c r="A16" s="353"/>
      <c r="B16" s="370"/>
      <c r="C16" s="371"/>
      <c r="D16" s="371"/>
      <c r="E16" s="371"/>
      <c r="F16" s="370"/>
      <c r="G16" s="370"/>
      <c r="H16" s="370"/>
      <c r="I16" s="370"/>
      <c r="J16" s="372"/>
      <c r="K16" s="353"/>
      <c r="L16" s="602" t="s">
        <v>228</v>
      </c>
      <c r="M16" s="602"/>
      <c r="N16" s="602"/>
      <c r="O16" s="147" t="str">
        <f>IF(I36="","",VLOOKUP('Tiltag 3'!I36,'Forbrugsberegner 3'!E95:G108,2,FALSE))</f>
        <v/>
      </c>
      <c r="P16" s="167"/>
      <c r="Q16" s="147" t="str">
        <f>IF(I27="Ja","Gas-/dieselolie","")</f>
        <v/>
      </c>
      <c r="R16" s="167"/>
      <c r="S16" s="373"/>
      <c r="T16" s="355"/>
    </row>
    <row r="17" spans="1:22" ht="18" x14ac:dyDescent="0.25">
      <c r="A17" s="353"/>
      <c r="B17" s="374" t="s">
        <v>229</v>
      </c>
      <c r="C17" s="602" t="s">
        <v>230</v>
      </c>
      <c r="D17" s="602"/>
      <c r="E17" s="602"/>
      <c r="F17" s="602"/>
      <c r="G17" s="602"/>
      <c r="H17" s="606"/>
      <c r="I17" s="375"/>
      <c r="J17" s="372"/>
      <c r="K17" s="353"/>
      <c r="L17" s="602" t="s">
        <v>110</v>
      </c>
      <c r="M17" s="602"/>
      <c r="N17" s="602"/>
      <c r="O17" s="483" t="str">
        <f>IF(G40="","-",IF(AND(I27="Nej",I26="ja",I17="ÅRSRAPPORT"),G24/G40/1000,IF(AND(I27="Ja",I26="Ja",I17="ÅRSRAPPORT"),G24/G40/1000,IF(AND(I27="",I26="Ja",I17="ÅRSRAPPORT"),"-",IF(AND(I26="",I17="ÅRSRAPPORT"),"-",IF(AND(I26="Nej",I17="ÅRSRAPPORT"),(G24+G34)/G40/1000,IF(AND(I27="Nej",I26="ja",I17="CHR"),I24/G40/1000,IF(AND(I27="Ja",I26="Ja",I17="CHR"),I24/G40/1000,IF(AND(I27="",I26="Ja",I17="CHR"),"-",IF(AND(I26="",I17="CHR"),"-",IF(AND(I26="Nej",I17="CHR"),(I24+I34)/G40/1000,IF(OR(I17="",I17="Årsrapport",I17="CHR"),"-",""))))))))))))</f>
        <v>-</v>
      </c>
      <c r="P17" s="373" t="s">
        <v>25</v>
      </c>
      <c r="Q17" s="376" t="str">
        <f>IF(I26="Nej","",IF(G40="","-",IF(AND(I27="Nej",I26="Ja",I17="ÅRSRAPPORT"),"-",IF(AND(I42="Varmepumpe",I27="Ja",I26="Ja",I17="ÅRSRAPPORT"),G34/1000,IF(AND(I42="Fjernvarme",I27="Ja",I26="Ja",I17="ÅRSRAPPORT"),G34/1000,IF(AND(OR(I42="Træpillekedel",I42="Fliskedel",I42="Halmkedel"),I27="Ja",I26="Ja",I17="ÅRSRAPPORT"),G34/1000,IF(AND(I27="",I26="Ja",I17="ÅRSRAPPORT"),"-",IF(AND(I26="",I17="ÅRSRAPPORT"),"-",IF(AND(I26="Nej",I17="ÅRSRAPPORT"),"-",IF(AND(I27="Nej",I26="ja",I17="CHR"),"-",IF(AND(I27="Ja",I26="Ja",I17="CHR"),I34/1000,IF(AND(I27="",I26="Ja",I17="CHR"),"-",IF(AND(I26="",I17="CHR"),"-",IF(AND(I26="Nej",I17="CHR"),"-",IF(OR(I17="",I17="Årsrapport",I17="CHR"),"-","")))))))))))))))</f>
        <v>-</v>
      </c>
      <c r="R17" s="373" t="s">
        <v>25</v>
      </c>
      <c r="S17" s="373"/>
      <c r="T17" s="355"/>
    </row>
    <row r="18" spans="1:22" ht="22.5" customHeight="1" x14ac:dyDescent="0.25">
      <c r="A18" s="353"/>
      <c r="B18" s="374"/>
      <c r="C18" s="377"/>
      <c r="D18" s="377"/>
      <c r="E18" s="377"/>
      <c r="F18" s="377"/>
      <c r="G18" s="377"/>
      <c r="H18" s="378"/>
      <c r="I18" s="378"/>
      <c r="J18" s="378"/>
      <c r="K18" s="353"/>
      <c r="L18" s="377"/>
      <c r="M18" s="379"/>
      <c r="N18" s="379"/>
      <c r="O18" s="380"/>
      <c r="P18" s="377"/>
      <c r="Q18" s="373"/>
      <c r="R18" s="373"/>
      <c r="S18" s="373"/>
      <c r="T18" s="354"/>
    </row>
    <row r="19" spans="1:22" ht="18" x14ac:dyDescent="0.25">
      <c r="A19" s="353"/>
      <c r="B19" s="374" t="s">
        <v>231</v>
      </c>
      <c r="C19" s="602" t="s">
        <v>232</v>
      </c>
      <c r="D19" s="602"/>
      <c r="E19" s="602"/>
      <c r="F19" s="602"/>
      <c r="G19" s="602"/>
      <c r="H19" s="602"/>
      <c r="I19" s="378"/>
      <c r="J19" s="372"/>
      <c r="K19" s="353"/>
      <c r="L19" s="607" t="s">
        <v>109</v>
      </c>
      <c r="M19" s="607"/>
      <c r="N19" s="607"/>
      <c r="O19" s="381" t="str">
        <f>IFERROR(IF(AND(I42="Varmepumpe"),"Elektricitet",IF(AND(I42="Fjernvarme"),"Fjernvarme",VLOOKUP(I42,'Grise - regneark'!B33:C35,2,FALSE))),"-")</f>
        <v>-</v>
      </c>
      <c r="P19" s="373"/>
      <c r="Q19" s="381" t="str">
        <f>IFERROR(IF(AND(I42="Varmepumpe",I26="Ja"),"Elektricitet",IF(AND(I42="Fjernvarme"),"Fjernvarme",VLOOKUP(I42,'Grise - regneark'!B33:C35,2,FALSE))),"")</f>
        <v/>
      </c>
      <c r="R19" s="373"/>
      <c r="S19" s="373"/>
      <c r="T19" s="354"/>
    </row>
    <row r="20" spans="1:22" ht="18" x14ac:dyDescent="0.25">
      <c r="A20" s="353"/>
      <c r="B20" s="370"/>
      <c r="C20" s="608" t="str">
        <f>IF(I17="","",IF(I17='Grise - regneark'!B13,"Type af grise","Type af grise"))</f>
        <v/>
      </c>
      <c r="D20" s="608"/>
      <c r="E20" s="609" t="str">
        <f>IF(I17="","",IF(I17='Grise - regneark'!B13,"Årlige antal","Antal"))</f>
        <v/>
      </c>
      <c r="F20" s="609"/>
      <c r="G20" s="609" t="str">
        <f>IF(I17="","",IF(I17='Grise - regneark'!B13,"Varmebehov[kWh]","Årlige antal"))</f>
        <v/>
      </c>
      <c r="H20" s="609"/>
      <c r="I20" s="382" t="str">
        <f>IF(I17="","",IF(I17='Grise - regneark'!C13,"Varmebehov[kWh]",""))</f>
        <v/>
      </c>
      <c r="J20" s="372"/>
      <c r="K20" s="353"/>
      <c r="L20" s="602" t="s">
        <v>108</v>
      </c>
      <c r="M20" s="602"/>
      <c r="N20" s="602"/>
      <c r="O20" s="483" t="str">
        <f>IFERROR(IF(AND(H46="",I43=""),"-",IF(G40="","-",IF(AND('Grise - regneark'!C31&gt;2),O17*G40/H46,IF(AND(I42="Fjernvarme"),O17*G40*100%,IF(AND(I42="Varmepumpe"),O17*G40/I43,"-"))))),"-")</f>
        <v>-</v>
      </c>
      <c r="P20" s="373" t="s">
        <v>25</v>
      </c>
      <c r="Q20" s="376" t="str">
        <f>IF(I26="Nej","",IF(G40="","-",IF(AND(I42=""),"-",IF(I42="Varmepumpe",Q17/H43,IF(I42="Fjernvarme",Q17,IF(OR(I42="Træpillekedel",I42="Fliskedel",I42="Halmkedel"),Q17/H46,Q17))))))</f>
        <v>-</v>
      </c>
      <c r="R20" s="373" t="s">
        <v>25</v>
      </c>
      <c r="S20" s="373"/>
      <c r="T20" s="354"/>
    </row>
    <row r="21" spans="1:22" ht="18.75" thickBot="1" x14ac:dyDescent="0.3">
      <c r="A21" s="353"/>
      <c r="B21" s="383"/>
      <c r="C21" s="610"/>
      <c r="D21" s="611"/>
      <c r="E21" s="610"/>
      <c r="F21" s="611"/>
      <c r="G21" s="612" t="b">
        <f>IF($I$17='Grise - regneark'!$B$13,IF(C21="","",IF(C21='Grise - regneark'!$B$16,E21*'Grise - regneark'!$T$20,IF(C21='Grise - regneark'!$C$16,E21*'Grise - regneark'!$T$22,IF(C21='Grise - regneark'!$D$16,E21*'Grise - regneark'!$T$24,"")))),IF($I$17='Grise - regneark'!$C$13,IF(C21="","",IF(C21='Grise - regneark'!$B$19,E21*'Grise - regneark'!$I$11,IF(C21='Grise - regneark'!$C$19,E21*'Grise - regneark'!$I$12,IF(C21='Grise - regneark'!$D$19,E21*'Grise - regneark'!$I$13,""))))))</f>
        <v>0</v>
      </c>
      <c r="H21" s="613"/>
      <c r="I21" s="493" t="b">
        <f>IF($I$17='Grise - regneark'!$C$13,IF(C21='Grise - regneark'!$B$19,G21*'Grise - regneark'!$T$21,IF(C21='Grise - regneark'!$C$19,G21*'Grise - regneark'!$T$23,IF(C21='Grise - regneark'!$D$19,G21*'Grise - regneark'!$T$25,""))))</f>
        <v>0</v>
      </c>
      <c r="J21" s="372"/>
      <c r="K21" s="353"/>
      <c r="L21" s="373"/>
      <c r="M21" s="373"/>
      <c r="N21" s="373"/>
      <c r="O21" s="373"/>
      <c r="P21" s="373"/>
      <c r="Q21" s="480"/>
      <c r="R21" s="373"/>
      <c r="S21" s="373"/>
      <c r="T21" s="354"/>
    </row>
    <row r="22" spans="1:22" ht="18.75" thickBot="1" x14ac:dyDescent="0.3">
      <c r="A22" s="353"/>
      <c r="B22" s="383"/>
      <c r="C22" s="610"/>
      <c r="D22" s="611"/>
      <c r="E22" s="610"/>
      <c r="F22" s="611"/>
      <c r="G22" s="612" t="b">
        <f>IF($I$17='Grise - regneark'!$B$13,IF(C22="","",IF(C22='Grise - regneark'!$B$16,E22*'Grise - regneark'!$T$20,IF(C22='Grise - regneark'!$C$16,E22*'Grise - regneark'!$T$22,IF(C22='Grise - regneark'!$D$16,E22*'Grise - regneark'!$T$24,"")))),IF($I$17='Grise - regneark'!$C$13,IF(C22="","",IF(C22='Grise - regneark'!$B$19,E22*'Grise - regneark'!$I$11,IF(C22='Grise - regneark'!$C$19,E22*'Grise - regneark'!$I$12,IF(C22='Grise - regneark'!$D$19,E22*'Grise - regneark'!$I$13,""))))))</f>
        <v>0</v>
      </c>
      <c r="H22" s="613"/>
      <c r="I22" s="370" t="b">
        <f>IF($I$17='Grise - regneark'!$C$13,IF(C22='Grise - regneark'!$B$19,G22*'Grise - regneark'!$T$21,IF(C22='Grise - regneark'!$C$19,G22*'Grise - regneark'!$T$23,IF(C22='Grise - regneark'!$D$19,G22*'Grise - regneark'!$T$25,""))))</f>
        <v>0</v>
      </c>
      <c r="J22" s="372"/>
      <c r="K22" s="353"/>
      <c r="L22" s="328" t="s">
        <v>233</v>
      </c>
      <c r="M22" s="385"/>
      <c r="N22" s="385"/>
      <c r="O22" s="386" t="str">
        <f>IF(AND(O17="-",O20="-"),"-",O17-O20)</f>
        <v>-</v>
      </c>
      <c r="P22" s="329" t="s">
        <v>25</v>
      </c>
      <c r="Q22" s="484" t="str">
        <f>IF(AND(Q17="-",Q20="-"),"-",Q17-Q20)</f>
        <v>-</v>
      </c>
      <c r="R22" s="387" t="s">
        <v>25</v>
      </c>
      <c r="S22" s="384"/>
      <c r="T22" s="354"/>
    </row>
    <row r="23" spans="1:22" ht="18" x14ac:dyDescent="0.25">
      <c r="A23" s="353"/>
      <c r="B23" s="383"/>
      <c r="C23" s="610"/>
      <c r="D23" s="611"/>
      <c r="E23" s="610"/>
      <c r="F23" s="611"/>
      <c r="G23" s="612" t="b">
        <f>IF($I$17='Grise - regneark'!$B$13,IF(C23="","",IF(C23='Grise - regneark'!$B$16,E23*'Grise - regneark'!$T$20,IF(C23='Grise - regneark'!$C$16,E23*'Grise - regneark'!$T$22,IF(C23='Grise - regneark'!$D$16,E23*'Grise - regneark'!$T$24,"")))),IF($I$17='Grise - regneark'!$C$13,IF(C23="","",IF(C23='Grise - regneark'!$B$19,E23*'Grise - regneark'!$I$11,IF(C23='Grise - regneark'!$C$19,E23*'Grise - regneark'!$I$12,IF(C23='Grise - regneark'!$D$19,E23*'Grise - regneark'!$I$13,""))))))</f>
        <v>0</v>
      </c>
      <c r="H23" s="613"/>
      <c r="I23" s="370" t="b">
        <f>IF($I$17='Grise - regneark'!$C$13,IF(C23='Grise - regneark'!$B$19,G23*'Grise - regneark'!$T$21,IF(C23='Grise - regneark'!$C$19,G23*'Grise - regneark'!$T$23,IF(C23='Grise - regneark'!$D$19,G23*'Grise - regneark'!$T$25,""))))</f>
        <v>0</v>
      </c>
      <c r="J23" s="372"/>
      <c r="K23" s="353"/>
      <c r="L23" s="354"/>
      <c r="M23" s="354"/>
      <c r="N23" s="354"/>
      <c r="O23" s="354"/>
      <c r="P23" s="354"/>
      <c r="Q23" s="354"/>
      <c r="R23" s="354"/>
      <c r="S23" s="496"/>
      <c r="T23" s="354"/>
    </row>
    <row r="24" spans="1:22" ht="18" customHeight="1" x14ac:dyDescent="0.25">
      <c r="A24" s="353"/>
      <c r="B24" s="383"/>
      <c r="C24" s="388"/>
      <c r="D24" s="388"/>
      <c r="E24" s="608"/>
      <c r="F24" s="608"/>
      <c r="G24" s="614" t="str">
        <f>IF(I17='Grise - regneark'!B13,SUM('Tiltag 3'!G21:H23),"")</f>
        <v/>
      </c>
      <c r="H24" s="614"/>
      <c r="I24" s="481" t="str">
        <f>IF(I17='Grise - regneark'!C13,SUM(I21:I23),"")</f>
        <v/>
      </c>
      <c r="J24" s="372"/>
      <c r="K24" s="353"/>
      <c r="L24" s="389" t="s">
        <v>221</v>
      </c>
      <c r="M24" s="354"/>
      <c r="N24" s="354"/>
      <c r="O24" s="354"/>
      <c r="P24" s="354"/>
      <c r="Q24" s="354"/>
      <c r="R24" s="354"/>
      <c r="S24" s="354"/>
      <c r="T24" s="354"/>
    </row>
    <row r="25" spans="1:22" ht="18" x14ac:dyDescent="0.25">
      <c r="A25" s="353"/>
      <c r="B25" s="383"/>
      <c r="C25" s="388"/>
      <c r="D25" s="388"/>
      <c r="E25" s="388"/>
      <c r="F25" s="370"/>
      <c r="G25" s="370"/>
      <c r="H25" s="370"/>
      <c r="I25" s="370"/>
      <c r="J25" s="372"/>
      <c r="K25" s="353"/>
      <c r="L25" s="372"/>
      <c r="M25" s="372"/>
      <c r="N25" s="372"/>
      <c r="O25" s="372"/>
      <c r="P25" s="372"/>
      <c r="Q25" s="372"/>
      <c r="R25" s="384"/>
      <c r="S25" s="354"/>
      <c r="T25" s="354"/>
    </row>
    <row r="26" spans="1:22" ht="18" x14ac:dyDescent="0.25">
      <c r="A26" s="353"/>
      <c r="B26" s="374" t="s">
        <v>234</v>
      </c>
      <c r="C26" s="602" t="s">
        <v>306</v>
      </c>
      <c r="D26" s="602"/>
      <c r="E26" s="602"/>
      <c r="F26" s="602"/>
      <c r="G26" s="602"/>
      <c r="H26" s="602"/>
      <c r="I26" s="390"/>
      <c r="J26" s="391" t="str">
        <f>IF(I26="","OK1",IF(I26="Ja","OK2",IF(I26="Nej","OK3","")))</f>
        <v>OK1</v>
      </c>
      <c r="K26" s="353"/>
      <c r="L26" s="384"/>
      <c r="M26" s="384"/>
      <c r="N26" s="384"/>
      <c r="O26" s="384"/>
      <c r="P26" s="384"/>
      <c r="Q26" s="384"/>
      <c r="R26" s="384"/>
      <c r="S26" s="384"/>
      <c r="T26" s="354"/>
      <c r="V26" s="392"/>
    </row>
    <row r="27" spans="1:22" ht="18" x14ac:dyDescent="0.25">
      <c r="A27" s="353"/>
      <c r="B27" s="374" t="s">
        <v>107</v>
      </c>
      <c r="C27" s="377" t="s">
        <v>355</v>
      </c>
      <c r="D27" s="377"/>
      <c r="E27" s="377"/>
      <c r="F27" s="377"/>
      <c r="G27" s="377"/>
      <c r="H27" s="377"/>
      <c r="I27" s="148"/>
      <c r="J27" s="391" t="str">
        <f>IF(I17="","",IF(I17="CHR",IF(I27="Ja","OK4",""),IF(I17="Årsrapport",IF(I27="Ja","OK5",""))))</f>
        <v/>
      </c>
      <c r="K27" s="353"/>
      <c r="L27" s="372"/>
      <c r="M27" s="372"/>
      <c r="N27" s="372"/>
      <c r="O27" s="372"/>
      <c r="P27" s="372"/>
      <c r="Q27" s="372"/>
      <c r="R27" s="384"/>
      <c r="S27" s="384"/>
      <c r="T27" s="354"/>
    </row>
    <row r="28" spans="1:22" ht="18" x14ac:dyDescent="0.25">
      <c r="A28" s="353"/>
      <c r="B28" s="374"/>
      <c r="C28" s="377"/>
      <c r="D28" s="377"/>
      <c r="E28" s="377"/>
      <c r="F28" s="377"/>
      <c r="G28" s="377"/>
      <c r="H28" s="377"/>
      <c r="I28" s="377"/>
      <c r="J28" s="372"/>
      <c r="K28" s="353"/>
      <c r="L28" s="384"/>
      <c r="M28" s="384"/>
      <c r="N28" s="384"/>
      <c r="O28" s="384"/>
      <c r="P28" s="384"/>
      <c r="Q28" s="384"/>
      <c r="R28" s="384"/>
      <c r="S28" s="384"/>
      <c r="T28" s="354"/>
    </row>
    <row r="29" spans="1:22" ht="26.85" customHeight="1" x14ac:dyDescent="0.25">
      <c r="A29" s="353"/>
      <c r="B29" s="374" t="str">
        <f>IF(I26="Ja",IF(I27="ja","3.2",""),IF(I26="nej","3.1",""))</f>
        <v/>
      </c>
      <c r="C29" s="383" t="str">
        <f>IF(I26="Ja",IF(I27="ja","Beregning af varmeforbrug til udtørring via olievarmekanon",""),IF(I26="nej","Beregning af varmeforbrug til udtørring via forsyningsanlæg",""))</f>
        <v/>
      </c>
      <c r="D29" s="383"/>
      <c r="E29" s="383"/>
      <c r="F29" s="383"/>
      <c r="G29" s="383"/>
      <c r="H29" s="383"/>
      <c r="I29" s="383"/>
      <c r="J29" s="372"/>
      <c r="K29" s="355"/>
      <c r="L29" s="372"/>
      <c r="M29" s="372"/>
      <c r="N29" s="372"/>
      <c r="O29" s="372"/>
      <c r="P29" s="372"/>
      <c r="Q29" s="372"/>
      <c r="R29" s="384"/>
      <c r="S29" s="384"/>
      <c r="T29" s="354"/>
    </row>
    <row r="30" spans="1:22" ht="23.85" customHeight="1" x14ac:dyDescent="0.25">
      <c r="A30" s="353"/>
      <c r="B30" s="370"/>
      <c r="C30" s="609" t="str">
        <f>IF(I26="Ja",IF(I27="Ja",C20,""),IF(I26="Ja","",IF(I26="Nej",C20,"")))</f>
        <v/>
      </c>
      <c r="D30" s="609"/>
      <c r="E30" s="609" t="str">
        <f>IF(I26="Ja",IF(I27="Ja",E20,""),IF(I26="Ja","",IF(I26="Nej",E20,"")))</f>
        <v/>
      </c>
      <c r="F30" s="609"/>
      <c r="G30" s="609" t="str">
        <f>IF(I26="Ja",IF(I27="Ja",G20,""),IF(I26="Ja","",IF(I26="Nej",G20,"")))</f>
        <v/>
      </c>
      <c r="H30" s="609"/>
      <c r="I30" s="393" t="str">
        <f>IF(I26="Ja",IF(I27="Ja",I20,""),IF(I26="Ja","",IF(I26="Nej",I20,"")))</f>
        <v/>
      </c>
      <c r="J30" s="393"/>
      <c r="K30" s="353"/>
      <c r="L30" s="384"/>
      <c r="M30" s="384"/>
      <c r="N30" s="384"/>
      <c r="O30" s="384"/>
      <c r="P30" s="384"/>
      <c r="Q30" s="384"/>
      <c r="R30" s="384"/>
      <c r="S30" s="384"/>
      <c r="T30" s="354"/>
    </row>
    <row r="31" spans="1:22" ht="18" x14ac:dyDescent="0.25">
      <c r="A31" s="353"/>
      <c r="B31" s="394"/>
      <c r="C31" s="615">
        <f>C21</f>
        <v>0</v>
      </c>
      <c r="D31" s="615"/>
      <c r="E31" s="615">
        <f>E21</f>
        <v>0</v>
      </c>
      <c r="F31" s="615"/>
      <c r="G31" s="612" t="b">
        <f>IF($I$17='Grise - regneark'!$B$13,IF(C31="","",IF(C31='Grise - regneark'!$B$16,E31*'Grise - regneark'!$T$32,IF(C31='Grise - regneark'!$C$16,E31*'Grise - regneark'!$T$34,IF(C31='Grise - regneark'!$D$16,E31*'Grise - regneark'!$T$36,"")))),IF($I$17='Grise - regneark'!$C$13,IF(C31="","",IF(C31='Grise - regneark'!$B$19,E31*'Grise - regneark'!$I$11,IF(C31='Grise - regneark'!$C$19,E31*'Grise - regneark'!$I$12,IF(C31='Grise - regneark'!$D$19,E31*'Grise - regneark'!$I$13,""))))))</f>
        <v>0</v>
      </c>
      <c r="H31" s="613"/>
      <c r="I31" s="493" t="b">
        <f>IF($I$17='Grise - regneark'!$C$13,IF(C31='Grise - regneark'!$B$19,G31*'Grise - regneark'!$T$33,IF(C31='Grise - regneark'!$C$19,G31*'Grise - regneark'!$T$35,IF(C31='Grise - regneark'!$D$19,G31*'Grise - regneark'!$T$37,""))))</f>
        <v>0</v>
      </c>
      <c r="J31" s="395"/>
      <c r="K31" s="368"/>
      <c r="L31" s="372"/>
      <c r="M31" s="372"/>
      <c r="N31" s="372"/>
      <c r="O31" s="372"/>
      <c r="P31" s="372"/>
      <c r="Q31" s="372"/>
      <c r="R31" s="384"/>
      <c r="S31" s="384"/>
      <c r="T31" s="354"/>
    </row>
    <row r="32" spans="1:22" ht="18" x14ac:dyDescent="0.25">
      <c r="A32" s="353"/>
      <c r="B32" s="370"/>
      <c r="C32" s="615">
        <f t="shared" ref="C32:C33" si="1">C22</f>
        <v>0</v>
      </c>
      <c r="D32" s="615"/>
      <c r="E32" s="615">
        <f t="shared" ref="E32:E33" si="2">E22</f>
        <v>0</v>
      </c>
      <c r="F32" s="615"/>
      <c r="G32" s="612" t="b">
        <f>IF($I$17='Grise - regneark'!$B$13,IF(C32="","",IF(C32='Grise - regneark'!$B$16,E32*'Grise - regneark'!$T$32,IF(C32='Grise - regneark'!$C$16,E32*'Grise - regneark'!$T$34,IF(C32='Grise - regneark'!$D$16,E32*'Grise - regneark'!$T$36,"")))),IF($I$17='Grise - regneark'!$C$13,IF(C32="","",IF(C32='Grise - regneark'!$B$19,E32*'Grise - regneark'!$I$11,IF(C32='Grise - regneark'!$C$19,E32*'Grise - regneark'!$I$12,IF(C32='Grise - regneark'!$D$19,E32*'Grise - regneark'!$I$13,""))))))</f>
        <v>0</v>
      </c>
      <c r="H32" s="613"/>
      <c r="I32" s="370" t="b">
        <f>IF($I$17='Grise - regneark'!$C$13,IF(C32='Grise - regneark'!$B$19,G32*'Grise - regneark'!$T$33,IF(C32='Grise - regneark'!$C$19,G32*'Grise - regneark'!$T$35,IF(C32='Grise - regneark'!$D$19,G32*'Grise - regneark'!$T$37,""))))</f>
        <v>0</v>
      </c>
      <c r="J32" s="395"/>
      <c r="K32" s="353"/>
      <c r="L32" s="384"/>
      <c r="M32" s="384"/>
      <c r="N32" s="384"/>
      <c r="O32" s="384"/>
      <c r="P32" s="384"/>
      <c r="Q32" s="384"/>
      <c r="R32" s="384"/>
      <c r="S32" s="384"/>
      <c r="T32" s="354"/>
    </row>
    <row r="33" spans="1:20" ht="18" x14ac:dyDescent="0.25">
      <c r="A33" s="353"/>
      <c r="B33" s="396"/>
      <c r="C33" s="615">
        <f t="shared" si="1"/>
        <v>0</v>
      </c>
      <c r="D33" s="615"/>
      <c r="E33" s="615">
        <f t="shared" si="2"/>
        <v>0</v>
      </c>
      <c r="F33" s="615"/>
      <c r="G33" s="612" t="b">
        <f>IF($I$17='Grise - regneark'!$B$13,IF(C33="","",IF(C33='Grise - regneark'!$B$16,E33*'Grise - regneark'!$T$32,IF(C33='Grise - regneark'!$C$16,E33*'Grise - regneark'!$T$34,IF(C33='Grise - regneark'!$D$16,E33*'Grise - regneark'!$T$36,"")))),IF($I$17='Grise - regneark'!$C$13,IF(C33="","",IF(C33='Grise - regneark'!$B$19,E33*'Grise - regneark'!$I$11,IF(C33='Grise - regneark'!$C$19,E33*'Grise - regneark'!$I$12,IF(C33='Grise - regneark'!$D$19,E33*'Grise - regneark'!$I$13,""))))))</f>
        <v>0</v>
      </c>
      <c r="H33" s="613"/>
      <c r="I33" s="370" t="b">
        <f>IF($I$17='Grise - regneark'!$C$13,IF(C33='Grise - regneark'!$B$19,G33*'Grise - regneark'!$T$33,IF(C33='Grise - regneark'!$C$19,G33*'Grise - regneark'!$T$35,IF(C33='Grise - regneark'!$D$19,G33*'Grise - regneark'!$T$37,""))))</f>
        <v>0</v>
      </c>
      <c r="J33" s="395"/>
      <c r="K33" s="353"/>
      <c r="L33" s="372"/>
      <c r="M33" s="372"/>
      <c r="N33" s="372"/>
      <c r="O33" s="372"/>
      <c r="P33" s="372"/>
      <c r="Q33" s="372"/>
      <c r="R33" s="384"/>
      <c r="S33" s="384"/>
      <c r="T33" s="354"/>
    </row>
    <row r="34" spans="1:20" ht="18" x14ac:dyDescent="0.25">
      <c r="A34" s="353"/>
      <c r="B34" s="370"/>
      <c r="C34" s="388"/>
      <c r="D34" s="388"/>
      <c r="E34" s="608"/>
      <c r="F34" s="608"/>
      <c r="G34" s="616" t="str">
        <f>IF(I17='Grise - regneark'!B13,SUM('Tiltag 3'!G31:H33),"")</f>
        <v/>
      </c>
      <c r="H34" s="616"/>
      <c r="I34" s="482" t="str">
        <f>IF(I17='Grise - regneark'!C13,SUM(I31:I33),"")</f>
        <v/>
      </c>
      <c r="J34" s="395"/>
      <c r="K34" s="353"/>
      <c r="L34" s="384"/>
      <c r="M34" s="384"/>
      <c r="N34" s="384"/>
      <c r="O34" s="384"/>
      <c r="P34" s="384"/>
      <c r="Q34" s="384"/>
      <c r="R34" s="384"/>
      <c r="S34" s="384"/>
      <c r="T34" s="354"/>
    </row>
    <row r="35" spans="1:20" ht="18" x14ac:dyDescent="0.25">
      <c r="A35" s="353"/>
      <c r="B35" s="370"/>
      <c r="C35" s="377"/>
      <c r="D35" s="377"/>
      <c r="E35" s="377"/>
      <c r="F35" s="377"/>
      <c r="G35" s="377"/>
      <c r="H35" s="377"/>
      <c r="I35" s="371"/>
      <c r="J35" s="395"/>
      <c r="K35" s="353"/>
      <c r="L35" s="372"/>
      <c r="M35" s="372"/>
      <c r="N35" s="372"/>
      <c r="O35" s="372"/>
      <c r="P35" s="372"/>
      <c r="Q35" s="372"/>
      <c r="R35" s="384"/>
      <c r="S35" s="384"/>
      <c r="T35" s="354"/>
    </row>
    <row r="36" spans="1:20" ht="18" x14ac:dyDescent="0.25">
      <c r="A36" s="353"/>
      <c r="B36" s="397" t="s">
        <v>235</v>
      </c>
      <c r="C36" s="617" t="s">
        <v>236</v>
      </c>
      <c r="D36" s="617"/>
      <c r="E36" s="617"/>
      <c r="F36" s="384"/>
      <c r="G36" s="377"/>
      <c r="H36" s="377"/>
      <c r="I36" s="398"/>
      <c r="J36" s="395"/>
      <c r="K36" s="353"/>
      <c r="L36" s="384"/>
      <c r="M36" s="384"/>
      <c r="N36" s="384"/>
      <c r="O36" s="384"/>
      <c r="P36" s="384"/>
      <c r="Q36" s="384"/>
      <c r="R36" s="384"/>
      <c r="S36" s="384"/>
      <c r="T36" s="354"/>
    </row>
    <row r="37" spans="1:20" ht="18" x14ac:dyDescent="0.25">
      <c r="A37" s="353"/>
      <c r="B37" s="384"/>
      <c r="C37" s="384"/>
      <c r="D37" s="384"/>
      <c r="E37" s="384"/>
      <c r="F37" s="384"/>
      <c r="G37" s="384"/>
      <c r="H37" s="384"/>
      <c r="I37" s="384"/>
      <c r="J37" s="395"/>
      <c r="K37" s="353"/>
      <c r="L37" s="372"/>
      <c r="M37" s="372"/>
      <c r="N37" s="372"/>
      <c r="O37" s="372"/>
      <c r="P37" s="372"/>
      <c r="Q37" s="372"/>
      <c r="R37" s="384"/>
      <c r="S37" s="384"/>
      <c r="T37" s="354"/>
    </row>
    <row r="38" spans="1:20" ht="18" x14ac:dyDescent="0.25">
      <c r="A38" s="353"/>
      <c r="B38" s="397" t="s">
        <v>237</v>
      </c>
      <c r="C38" s="617" t="s">
        <v>238</v>
      </c>
      <c r="D38" s="617"/>
      <c r="E38" s="617"/>
      <c r="F38" s="617"/>
      <c r="G38" s="617"/>
      <c r="H38" s="617"/>
      <c r="I38" s="617"/>
      <c r="J38" s="371"/>
      <c r="K38" s="353"/>
      <c r="L38" s="384"/>
      <c r="M38" s="384"/>
      <c r="N38" s="384"/>
      <c r="O38" s="384"/>
      <c r="P38" s="384"/>
      <c r="Q38" s="384"/>
      <c r="R38" s="384"/>
      <c r="S38" s="384"/>
      <c r="T38" s="354"/>
    </row>
    <row r="39" spans="1:20" ht="21.75" customHeight="1" x14ac:dyDescent="0.25">
      <c r="A39" s="353"/>
      <c r="B39" s="384"/>
      <c r="C39" s="618" t="s">
        <v>239</v>
      </c>
      <c r="D39" s="618"/>
      <c r="E39" s="618" t="s">
        <v>68</v>
      </c>
      <c r="F39" s="618"/>
      <c r="G39" s="619" t="s">
        <v>241</v>
      </c>
      <c r="H39" s="619"/>
      <c r="I39" s="619"/>
      <c r="J39" s="371"/>
      <c r="K39" s="353"/>
      <c r="L39" s="372"/>
      <c r="M39" s="372"/>
      <c r="N39" s="372"/>
      <c r="O39" s="372"/>
      <c r="P39" s="372"/>
      <c r="Q39" s="372"/>
      <c r="R39" s="384"/>
      <c r="S39" s="384"/>
      <c r="T39" s="354"/>
    </row>
    <row r="40" spans="1:20" ht="18" x14ac:dyDescent="0.25">
      <c r="A40" s="353"/>
      <c r="B40" s="384"/>
      <c r="C40" s="620"/>
      <c r="D40" s="620"/>
      <c r="E40" s="620"/>
      <c r="F40" s="620"/>
      <c r="G40" s="628" t="str">
        <f>IF(OR(I36="",C40="",E40=""),"",'Forbrugsberegner 3'!D14/100)</f>
        <v/>
      </c>
      <c r="H40" s="629"/>
      <c r="I40" s="630"/>
      <c r="J40" s="371"/>
      <c r="K40" s="355"/>
      <c r="L40" s="384"/>
      <c r="M40" s="384"/>
      <c r="N40" s="384"/>
      <c r="O40" s="384"/>
      <c r="P40" s="384"/>
      <c r="Q40" s="384"/>
      <c r="R40" s="384"/>
      <c r="S40" s="384"/>
      <c r="T40" s="354"/>
    </row>
    <row r="41" spans="1:20" ht="18" x14ac:dyDescent="0.25">
      <c r="A41" s="355"/>
      <c r="B41" s="384"/>
      <c r="C41" s="384"/>
      <c r="D41" s="384"/>
      <c r="E41" s="384"/>
      <c r="F41" s="384"/>
      <c r="G41" s="384"/>
      <c r="H41" s="384"/>
      <c r="I41" s="384"/>
      <c r="J41" s="371"/>
      <c r="K41" s="355"/>
      <c r="L41" s="372"/>
      <c r="M41" s="372"/>
      <c r="N41" s="372"/>
      <c r="O41" s="372"/>
      <c r="P41" s="372"/>
      <c r="Q41" s="372"/>
      <c r="R41" s="384"/>
      <c r="S41" s="384"/>
      <c r="T41" s="354"/>
    </row>
    <row r="42" spans="1:20" ht="18" x14ac:dyDescent="0.25">
      <c r="A42" s="355"/>
      <c r="B42" s="397" t="s">
        <v>242</v>
      </c>
      <c r="C42" s="617" t="s">
        <v>243</v>
      </c>
      <c r="D42" s="617"/>
      <c r="E42" s="617"/>
      <c r="F42" s="617"/>
      <c r="G42" s="617"/>
      <c r="H42" s="624"/>
      <c r="I42" s="399"/>
      <c r="J42" s="371"/>
      <c r="K42" s="355"/>
      <c r="L42" s="372"/>
      <c r="M42" s="372"/>
      <c r="N42" s="372"/>
      <c r="O42" s="372"/>
      <c r="P42" s="372"/>
      <c r="Q42" s="372"/>
      <c r="R42" s="384"/>
      <c r="S42" s="384"/>
      <c r="T42" s="354"/>
    </row>
    <row r="43" spans="1:20" ht="18" customHeight="1" x14ac:dyDescent="0.25">
      <c r="A43" s="355"/>
      <c r="B43" s="397" t="str">
        <f>IF(I42='Grise - regneark'!B28,"6.1",IF(I42='Grise - regneark'!C28,"6.1",IF(I42='Grise - regneark'!D28,"6.1","")))</f>
        <v/>
      </c>
      <c r="C43" s="625" t="str">
        <f>IF(I42='Grise - regneark'!B28,"Beregning af ny brændselskedels årsvirkningsgrad",IF(I42='Grise - regneark'!C28,"Virkningsgrad",IF(I42='Grise - regneark'!D28,"Indtast SCOP","")))</f>
        <v/>
      </c>
      <c r="D43" s="625"/>
      <c r="E43" s="625"/>
      <c r="F43" s="625"/>
      <c r="G43" s="626"/>
      <c r="H43" s="491"/>
      <c r="I43" s="466" t="e">
        <f>IF('Grise - regneark'!C31&gt;2,"",IF(I42="Fjernvarme",1,IF(H43="","",IF(I42='Grise - regneark'!C28,"100%",H43))))</f>
        <v>#N/A</v>
      </c>
      <c r="J43" s="371"/>
      <c r="K43" s="355"/>
      <c r="L43" s="384"/>
      <c r="M43" s="384"/>
      <c r="N43" s="384"/>
      <c r="O43" s="384"/>
      <c r="P43" s="384"/>
      <c r="Q43" s="384"/>
      <c r="R43" s="384"/>
      <c r="S43" s="384"/>
      <c r="T43" s="354"/>
    </row>
    <row r="44" spans="1:20" s="404" customFormat="1" ht="4.5" customHeight="1" x14ac:dyDescent="0.25">
      <c r="A44" s="400"/>
      <c r="B44" s="401"/>
      <c r="C44" s="402"/>
      <c r="D44" s="402"/>
      <c r="E44" s="402"/>
      <c r="F44" s="402"/>
      <c r="G44" s="402"/>
      <c r="H44" s="402"/>
      <c r="I44" s="402"/>
      <c r="J44" s="403"/>
      <c r="K44" s="400"/>
      <c r="L44" s="372"/>
      <c r="M44" s="372"/>
      <c r="N44" s="372"/>
      <c r="O44" s="372"/>
      <c r="P44" s="372"/>
      <c r="Q44" s="372"/>
      <c r="R44" s="384"/>
      <c r="S44" s="384"/>
      <c r="T44" s="354"/>
    </row>
    <row r="45" spans="1:20" ht="18" x14ac:dyDescent="0.25">
      <c r="A45" s="355"/>
      <c r="B45" s="384"/>
      <c r="C45" s="627" t="s">
        <v>239</v>
      </c>
      <c r="D45" s="627"/>
      <c r="E45" s="627" t="s">
        <v>240</v>
      </c>
      <c r="F45" s="627"/>
      <c r="G45" s="627"/>
      <c r="H45" s="627" t="s">
        <v>241</v>
      </c>
      <c r="I45" s="627"/>
      <c r="J45" s="371"/>
      <c r="K45" s="354"/>
      <c r="L45" s="372"/>
      <c r="M45" s="372"/>
      <c r="N45" s="372"/>
      <c r="O45" s="372"/>
      <c r="P45" s="372"/>
      <c r="Q45" s="372"/>
      <c r="R45" s="384"/>
      <c r="S45" s="384"/>
      <c r="T45" s="354"/>
    </row>
    <row r="46" spans="1:20" ht="18" x14ac:dyDescent="0.25">
      <c r="A46" s="355"/>
      <c r="B46" s="384"/>
      <c r="C46" s="620"/>
      <c r="D46" s="620"/>
      <c r="E46" s="621"/>
      <c r="F46" s="621"/>
      <c r="G46" s="622"/>
      <c r="H46" s="623" t="str">
        <f>IF(OR(I42="Fjernvarme",I42="Varmepumpe"),"",IF(C46="","",IF(E46="","",IF('Forbrugsberegner 3'!C103&lt;0.5,0.5,'Forbrugsberegner 3'!C103/100))))</f>
        <v/>
      </c>
      <c r="I46" s="623"/>
      <c r="J46" s="371"/>
      <c r="K46" s="354"/>
      <c r="L46" s="372"/>
      <c r="M46" s="372"/>
      <c r="N46" s="372"/>
      <c r="O46" s="372"/>
      <c r="P46" s="372"/>
      <c r="Q46" s="372"/>
      <c r="R46" s="384"/>
      <c r="S46" s="384"/>
      <c r="T46" s="354"/>
    </row>
    <row r="47" spans="1:20" ht="12.75" customHeight="1" x14ac:dyDescent="0.25">
      <c r="A47" s="355"/>
      <c r="B47" s="384"/>
      <c r="C47" s="384"/>
      <c r="D47" s="384"/>
      <c r="E47" s="384"/>
      <c r="F47" s="384"/>
      <c r="G47" s="384"/>
      <c r="H47" s="384"/>
      <c r="I47" s="384"/>
      <c r="J47" s="371"/>
      <c r="K47" s="354"/>
      <c r="L47" s="354"/>
      <c r="M47" s="354"/>
      <c r="N47" s="354"/>
      <c r="O47" s="354"/>
      <c r="P47" s="354"/>
      <c r="Q47" s="354"/>
      <c r="R47" s="354"/>
      <c r="S47" s="384"/>
      <c r="T47" s="354"/>
    </row>
    <row r="48" spans="1:20" ht="12.75" customHeight="1" x14ac:dyDescent="0.25">
      <c r="A48" s="354"/>
      <c r="B48" s="354"/>
      <c r="C48" s="354"/>
      <c r="D48" s="354"/>
      <c r="E48" s="354"/>
      <c r="F48" s="354"/>
      <c r="G48" s="354"/>
      <c r="H48" s="354"/>
      <c r="I48" s="354"/>
      <c r="J48" s="354"/>
      <c r="K48" s="354"/>
      <c r="L48" s="354"/>
      <c r="M48" s="354"/>
      <c r="N48" s="354"/>
      <c r="O48" s="354"/>
      <c r="P48" s="354"/>
      <c r="Q48" s="354"/>
      <c r="R48" s="354"/>
      <c r="S48" s="354"/>
      <c r="T48" s="354"/>
    </row>
    <row r="49" spans="1:20" ht="12.75" customHeight="1" x14ac:dyDescent="0.15">
      <c r="A49" s="353"/>
      <c r="B49" s="353"/>
      <c r="C49" s="353"/>
      <c r="D49" s="353"/>
      <c r="E49" s="353"/>
      <c r="F49" s="70"/>
      <c r="G49" s="70"/>
      <c r="H49" s="70"/>
      <c r="I49" s="70"/>
      <c r="J49" s="70"/>
      <c r="K49" s="70"/>
      <c r="L49" s="70"/>
      <c r="M49" s="70"/>
      <c r="N49" s="70"/>
      <c r="O49" s="70"/>
      <c r="P49" s="70"/>
      <c r="Q49" s="70"/>
      <c r="R49" s="70"/>
      <c r="S49" s="353"/>
      <c r="T49" s="353"/>
    </row>
    <row r="50" spans="1:20" ht="12.75" customHeight="1" x14ac:dyDescent="0.15">
      <c r="A50" s="353"/>
      <c r="B50" s="353"/>
      <c r="C50" s="353"/>
      <c r="D50" s="353"/>
      <c r="E50" s="353"/>
      <c r="F50" s="70"/>
      <c r="G50" s="70"/>
      <c r="H50" s="70"/>
      <c r="I50" s="70"/>
      <c r="J50" s="70"/>
      <c r="K50" s="70"/>
      <c r="L50" s="70"/>
      <c r="M50" s="70"/>
      <c r="N50" s="70"/>
      <c r="O50" s="70"/>
      <c r="P50" s="70"/>
      <c r="Q50" s="70"/>
      <c r="R50" s="70"/>
      <c r="S50" s="353"/>
      <c r="T50" s="353"/>
    </row>
    <row r="51" spans="1:20" ht="12.75" customHeight="1" x14ac:dyDescent="0.15">
      <c r="A51" s="353"/>
      <c r="B51" s="353"/>
      <c r="C51" s="353"/>
      <c r="D51" s="353"/>
      <c r="E51" s="353"/>
      <c r="F51" s="70"/>
      <c r="G51" s="70"/>
      <c r="H51" s="70"/>
      <c r="I51" s="70"/>
      <c r="J51" s="70"/>
      <c r="K51" s="70"/>
      <c r="L51" s="70"/>
      <c r="M51" s="70"/>
      <c r="N51" s="70"/>
      <c r="O51" s="70"/>
      <c r="P51" s="70"/>
      <c r="Q51" s="70"/>
      <c r="R51" s="70"/>
      <c r="S51" s="353"/>
      <c r="T51" s="353"/>
    </row>
    <row r="52" spans="1:20" ht="12.75" customHeight="1" x14ac:dyDescent="0.15">
      <c r="A52" s="353"/>
      <c r="B52" s="353"/>
      <c r="C52" s="353"/>
      <c r="D52" s="353"/>
      <c r="E52" s="353"/>
      <c r="F52" s="70"/>
      <c r="G52" s="70"/>
      <c r="H52" s="70"/>
      <c r="I52" s="70"/>
      <c r="J52" s="70"/>
      <c r="K52" s="70"/>
      <c r="L52" s="70"/>
      <c r="M52" s="70"/>
      <c r="N52" s="70"/>
      <c r="O52" s="70"/>
      <c r="P52" s="70"/>
      <c r="Q52" s="70"/>
      <c r="R52" s="70"/>
      <c r="S52" s="353"/>
      <c r="T52" s="353"/>
    </row>
    <row r="53" spans="1:20" ht="12.75" customHeight="1" x14ac:dyDescent="0.15">
      <c r="A53" s="353"/>
      <c r="B53" s="353"/>
      <c r="C53" s="353"/>
      <c r="D53" s="353"/>
      <c r="E53" s="353"/>
      <c r="F53" s="70"/>
      <c r="G53" s="70"/>
      <c r="H53" s="70"/>
      <c r="I53" s="70"/>
      <c r="J53" s="70"/>
      <c r="K53" s="70"/>
      <c r="L53" s="70"/>
      <c r="M53" s="70"/>
      <c r="N53" s="70"/>
      <c r="O53" s="70"/>
      <c r="P53" s="70"/>
      <c r="Q53" s="70"/>
      <c r="R53" s="70"/>
      <c r="S53" s="353"/>
      <c r="T53" s="353"/>
    </row>
    <row r="54" spans="1:20" ht="12.75" customHeight="1" x14ac:dyDescent="0.15">
      <c r="A54" s="353"/>
      <c r="B54" s="353"/>
      <c r="C54" s="353"/>
      <c r="D54" s="353"/>
      <c r="E54" s="353"/>
      <c r="F54" s="353"/>
      <c r="G54" s="353"/>
      <c r="H54" s="353"/>
      <c r="I54" s="353"/>
      <c r="J54" s="353"/>
      <c r="K54" s="353"/>
      <c r="L54" s="353"/>
      <c r="M54" s="353"/>
      <c r="N54" s="353"/>
      <c r="O54" s="353"/>
      <c r="P54" s="353"/>
      <c r="Q54" s="353"/>
      <c r="R54" s="353"/>
      <c r="S54" s="353"/>
      <c r="T54" s="353"/>
    </row>
    <row r="55" spans="1:20" ht="12.75" customHeight="1" x14ac:dyDescent="0.15">
      <c r="A55" s="353"/>
      <c r="B55" s="353"/>
      <c r="C55" s="353"/>
      <c r="D55" s="353"/>
      <c r="E55" s="353"/>
      <c r="F55" s="353"/>
      <c r="G55" s="353"/>
      <c r="H55" s="353"/>
      <c r="I55" s="353"/>
      <c r="J55" s="353"/>
      <c r="K55" s="353"/>
      <c r="L55" s="353"/>
      <c r="M55" s="353"/>
      <c r="N55" s="353"/>
      <c r="O55" s="353"/>
      <c r="P55" s="353"/>
      <c r="Q55" s="353"/>
      <c r="R55" s="353"/>
      <c r="S55" s="353"/>
      <c r="T55" s="353"/>
    </row>
    <row r="56" spans="1:20" ht="12.75" customHeight="1" x14ac:dyDescent="0.15">
      <c r="A56" s="353"/>
      <c r="B56" s="353"/>
      <c r="C56" s="353"/>
      <c r="D56" s="353"/>
      <c r="E56" s="353"/>
      <c r="F56" s="353"/>
      <c r="G56" s="353"/>
      <c r="H56" s="353"/>
      <c r="I56" s="353"/>
      <c r="J56" s="353"/>
      <c r="K56" s="353"/>
      <c r="L56" s="353"/>
      <c r="M56" s="353"/>
      <c r="N56" s="353"/>
      <c r="O56" s="353"/>
      <c r="P56" s="353"/>
      <c r="Q56" s="353"/>
      <c r="R56" s="353"/>
      <c r="S56" s="353"/>
      <c r="T56" s="353"/>
    </row>
    <row r="57" spans="1:20" ht="12.75" customHeight="1" x14ac:dyDescent="0.15">
      <c r="A57" s="353"/>
      <c r="B57" s="353"/>
      <c r="C57" s="353"/>
      <c r="D57" s="353"/>
      <c r="E57" s="353"/>
      <c r="F57" s="353"/>
      <c r="G57" s="353"/>
      <c r="H57" s="353"/>
      <c r="I57" s="353"/>
      <c r="J57" s="353"/>
      <c r="K57" s="353"/>
      <c r="L57" s="353"/>
      <c r="M57" s="353"/>
      <c r="N57" s="353"/>
      <c r="O57" s="353"/>
      <c r="P57" s="353"/>
      <c r="Q57" s="353"/>
      <c r="R57" s="353"/>
      <c r="S57" s="353"/>
      <c r="T57" s="353"/>
    </row>
    <row r="58" spans="1:20" ht="12.75" customHeight="1" x14ac:dyDescent="0.15">
      <c r="A58" s="353"/>
      <c r="B58" s="353"/>
      <c r="C58" s="353"/>
      <c r="D58" s="353"/>
      <c r="E58" s="353"/>
      <c r="F58" s="353"/>
      <c r="G58" s="353"/>
      <c r="H58" s="353"/>
      <c r="I58" s="353"/>
      <c r="J58" s="353"/>
      <c r="K58" s="353"/>
      <c r="L58" s="353"/>
      <c r="M58" s="353"/>
      <c r="N58" s="353"/>
      <c r="O58" s="353"/>
      <c r="P58" s="353"/>
      <c r="Q58" s="353"/>
      <c r="R58" s="353"/>
      <c r="S58" s="353"/>
      <c r="T58" s="353"/>
    </row>
    <row r="59" spans="1:20" ht="12.75" customHeight="1" x14ac:dyDescent="0.15">
      <c r="A59" s="353"/>
      <c r="B59" s="353"/>
      <c r="C59" s="353"/>
      <c r="D59" s="353"/>
      <c r="E59" s="353"/>
      <c r="F59" s="353"/>
      <c r="G59" s="353"/>
      <c r="H59" s="353"/>
      <c r="I59" s="353"/>
      <c r="J59" s="353"/>
      <c r="K59" s="353"/>
      <c r="L59" s="353"/>
      <c r="M59" s="353"/>
      <c r="N59" s="353"/>
      <c r="O59" s="353"/>
      <c r="P59" s="353"/>
      <c r="Q59" s="353"/>
      <c r="R59" s="353"/>
      <c r="S59" s="353"/>
      <c r="T59" s="353"/>
    </row>
    <row r="60" spans="1:20" ht="12.75" customHeight="1" x14ac:dyDescent="0.15">
      <c r="A60" s="353"/>
      <c r="B60" s="353"/>
      <c r="C60" s="353"/>
      <c r="D60" s="353"/>
      <c r="E60" s="353"/>
      <c r="F60" s="353"/>
      <c r="G60" s="353"/>
      <c r="H60" s="353"/>
      <c r="I60" s="353"/>
      <c r="J60" s="353"/>
      <c r="K60" s="353"/>
      <c r="L60" s="353"/>
      <c r="M60" s="353"/>
      <c r="N60" s="353"/>
      <c r="O60" s="353"/>
      <c r="P60" s="353"/>
      <c r="Q60" s="353"/>
      <c r="R60" s="353"/>
      <c r="S60" s="353"/>
      <c r="T60" s="353"/>
    </row>
    <row r="61" spans="1:20" ht="12.75" customHeight="1" x14ac:dyDescent="0.15">
      <c r="A61" s="353"/>
      <c r="B61" s="353"/>
      <c r="C61" s="353"/>
      <c r="D61" s="353"/>
      <c r="E61" s="353"/>
      <c r="F61" s="353"/>
      <c r="G61" s="353"/>
      <c r="H61" s="353"/>
      <c r="I61" s="353"/>
      <c r="J61" s="353"/>
      <c r="K61" s="353"/>
      <c r="L61" s="353"/>
      <c r="M61" s="353"/>
      <c r="N61" s="353"/>
      <c r="O61" s="353"/>
      <c r="P61" s="353"/>
      <c r="Q61" s="353"/>
      <c r="R61" s="353"/>
      <c r="S61" s="353"/>
      <c r="T61" s="353"/>
    </row>
    <row r="62" spans="1:20" ht="12.75" customHeight="1" x14ac:dyDescent="0.15">
      <c r="A62" s="353"/>
      <c r="B62" s="353"/>
      <c r="C62" s="353"/>
      <c r="D62" s="353"/>
      <c r="E62" s="353"/>
      <c r="F62" s="353"/>
      <c r="G62" s="353"/>
      <c r="H62" s="353"/>
      <c r="I62" s="353"/>
      <c r="J62" s="353"/>
      <c r="K62" s="353"/>
      <c r="L62" s="353"/>
      <c r="M62" s="353"/>
      <c r="N62" s="353"/>
      <c r="O62" s="353"/>
      <c r="P62" s="353"/>
      <c r="Q62" s="353"/>
      <c r="R62" s="353"/>
      <c r="S62" s="353"/>
      <c r="T62" s="353"/>
    </row>
    <row r="63" spans="1:20" ht="12.75" customHeight="1" x14ac:dyDescent="0.15">
      <c r="A63" s="353"/>
      <c r="B63" s="353"/>
      <c r="C63" s="353"/>
      <c r="D63" s="353"/>
      <c r="E63" s="353"/>
      <c r="F63" s="353"/>
      <c r="G63" s="353"/>
      <c r="H63" s="353"/>
      <c r="I63" s="353"/>
      <c r="J63" s="353"/>
      <c r="K63" s="353"/>
      <c r="L63" s="353"/>
      <c r="M63" s="353"/>
      <c r="N63" s="353"/>
      <c r="O63" s="353"/>
      <c r="P63" s="353"/>
      <c r="Q63" s="353"/>
      <c r="R63" s="353"/>
      <c r="S63" s="353"/>
      <c r="T63" s="353"/>
    </row>
    <row r="64" spans="1:20" ht="12.75" customHeight="1" x14ac:dyDescent="0.15">
      <c r="A64" s="353"/>
      <c r="B64" s="353"/>
      <c r="C64" s="353"/>
      <c r="D64" s="353"/>
      <c r="E64" s="353"/>
      <c r="F64" s="353"/>
      <c r="G64" s="353"/>
      <c r="H64" s="353"/>
      <c r="I64" s="353"/>
      <c r="J64" s="353"/>
      <c r="K64" s="353"/>
      <c r="L64" s="353"/>
      <c r="M64" s="353"/>
      <c r="N64" s="353"/>
      <c r="O64" s="353"/>
      <c r="P64" s="353"/>
      <c r="Q64" s="353"/>
      <c r="R64" s="353"/>
      <c r="S64" s="353"/>
      <c r="T64" s="353"/>
    </row>
    <row r="65" spans="1:20" ht="12.75" customHeight="1" x14ac:dyDescent="0.15">
      <c r="A65" s="353"/>
      <c r="B65" s="353"/>
      <c r="C65" s="353"/>
      <c r="D65" s="353"/>
      <c r="E65" s="353"/>
      <c r="F65" s="353"/>
      <c r="G65" s="353"/>
      <c r="H65" s="353"/>
      <c r="I65" s="353"/>
      <c r="J65" s="353"/>
      <c r="K65" s="353"/>
      <c r="L65" s="353"/>
      <c r="M65" s="353"/>
      <c r="N65" s="353"/>
      <c r="O65" s="353"/>
      <c r="P65" s="353"/>
      <c r="Q65" s="353"/>
      <c r="R65" s="353"/>
      <c r="S65" s="353"/>
      <c r="T65" s="353"/>
    </row>
    <row r="66" spans="1:20" ht="12.75" customHeight="1" x14ac:dyDescent="0.15">
      <c r="A66" s="353"/>
      <c r="B66" s="353"/>
      <c r="C66" s="353"/>
      <c r="D66" s="353"/>
      <c r="E66" s="353"/>
      <c r="F66" s="353"/>
      <c r="G66" s="353"/>
      <c r="H66" s="353"/>
      <c r="I66" s="353"/>
      <c r="J66" s="353"/>
      <c r="K66" s="353"/>
      <c r="L66" s="353"/>
      <c r="M66" s="353"/>
      <c r="N66" s="353"/>
      <c r="O66" s="353"/>
      <c r="P66" s="353"/>
      <c r="Q66" s="353"/>
      <c r="R66" s="353"/>
      <c r="S66" s="353"/>
      <c r="T66" s="353"/>
    </row>
    <row r="67" spans="1:20" ht="12.75" customHeight="1" x14ac:dyDescent="0.15">
      <c r="A67" s="353"/>
      <c r="B67" s="353"/>
      <c r="C67" s="353"/>
      <c r="D67" s="353"/>
      <c r="E67" s="353"/>
      <c r="F67" s="353"/>
      <c r="G67" s="353"/>
      <c r="H67" s="353"/>
      <c r="I67" s="353"/>
      <c r="J67" s="353"/>
      <c r="K67" s="353"/>
      <c r="L67" s="353"/>
      <c r="M67" s="353"/>
      <c r="N67" s="353"/>
      <c r="O67" s="353"/>
      <c r="P67" s="353"/>
      <c r="Q67" s="353"/>
      <c r="R67" s="353"/>
      <c r="S67" s="353"/>
      <c r="T67" s="353"/>
    </row>
  </sheetData>
  <sheetProtection algorithmName="SHA-512" hashValue="BQ6LP6esaCD0imuced4pSw95wCaR88V7BXXiXQVQzcK21RKdTcEg1tWJxuwQB4Ee1/sTcH/4+m04EVGplBY69w==" saltValue="RZU7Ab1QtjUYOPaOPCycFA==" spinCount="100000" sheet="1"/>
  <protectedRanges>
    <protectedRange sqref="H43" name="Område7"/>
    <protectedRange sqref="C46:G46" name="Område3"/>
    <protectedRange sqref="C21:F23" name="Område1"/>
    <protectedRange sqref="C40:F40 H40" name="Område2"/>
    <protectedRange sqref="I26:I27" name="Område4"/>
    <protectedRange sqref="I36" name="Område5"/>
    <protectedRange sqref="I42" name="Område6"/>
  </protectedRanges>
  <mergeCells count="56">
    <mergeCell ref="C46:D46"/>
    <mergeCell ref="E46:G46"/>
    <mergeCell ref="H46:I46"/>
    <mergeCell ref="C40:D40"/>
    <mergeCell ref="E40:F40"/>
    <mergeCell ref="C42:H42"/>
    <mergeCell ref="C43:G43"/>
    <mergeCell ref="C45:D45"/>
    <mergeCell ref="E45:G45"/>
    <mergeCell ref="H45:I45"/>
    <mergeCell ref="G40:I40"/>
    <mergeCell ref="E34:F34"/>
    <mergeCell ref="G34:H34"/>
    <mergeCell ref="C36:E36"/>
    <mergeCell ref="C38:I38"/>
    <mergeCell ref="C39:D39"/>
    <mergeCell ref="E39:F39"/>
    <mergeCell ref="G39:I39"/>
    <mergeCell ref="C32:D32"/>
    <mergeCell ref="E32:F32"/>
    <mergeCell ref="G32:H32"/>
    <mergeCell ref="C33:D33"/>
    <mergeCell ref="E33:F33"/>
    <mergeCell ref="G33:H33"/>
    <mergeCell ref="C30:D30"/>
    <mergeCell ref="E30:F30"/>
    <mergeCell ref="G30:H30"/>
    <mergeCell ref="C31:D31"/>
    <mergeCell ref="E31:F31"/>
    <mergeCell ref="G31:H31"/>
    <mergeCell ref="C26:H26"/>
    <mergeCell ref="C21:D21"/>
    <mergeCell ref="E21:F21"/>
    <mergeCell ref="G21:H21"/>
    <mergeCell ref="C22:D22"/>
    <mergeCell ref="E22:F22"/>
    <mergeCell ref="G22:H22"/>
    <mergeCell ref="C23:D23"/>
    <mergeCell ref="E23:F23"/>
    <mergeCell ref="G23:H23"/>
    <mergeCell ref="E24:F24"/>
    <mergeCell ref="G24:H24"/>
    <mergeCell ref="C17:H17"/>
    <mergeCell ref="L17:N17"/>
    <mergeCell ref="C19:H19"/>
    <mergeCell ref="L19:N19"/>
    <mergeCell ref="C20:D20"/>
    <mergeCell ref="E20:F20"/>
    <mergeCell ref="G20:H20"/>
    <mergeCell ref="L20:N20"/>
    <mergeCell ref="L16:N16"/>
    <mergeCell ref="B2:I3"/>
    <mergeCell ref="K2:P3"/>
    <mergeCell ref="B6:M7"/>
    <mergeCell ref="C8:M8"/>
    <mergeCell ref="B15:J15"/>
  </mergeCells>
  <conditionalFormatting sqref="C21:H23">
    <cfRule type="expression" dxfId="143" priority="89">
      <formula>$I$17=""</formula>
    </cfRule>
  </conditionalFormatting>
  <conditionalFormatting sqref="C20:H20">
    <cfRule type="expression" dxfId="142" priority="88">
      <formula>$I$17=""</formula>
    </cfRule>
  </conditionalFormatting>
  <conditionalFormatting sqref="G21:H23">
    <cfRule type="expression" dxfId="141" priority="84">
      <formula>$I$17=""</formula>
    </cfRule>
  </conditionalFormatting>
  <conditionalFormatting sqref="C21:F23">
    <cfRule type="expression" dxfId="140" priority="87">
      <formula>$I$17=""</formula>
    </cfRule>
  </conditionalFormatting>
  <conditionalFormatting sqref="G21:H23">
    <cfRule type="expression" dxfId="139" priority="86">
      <formula>$G$22:$H$23=0</formula>
    </cfRule>
  </conditionalFormatting>
  <conditionalFormatting sqref="G23:H23">
    <cfRule type="expression" dxfId="138" priority="85">
      <formula>$G$23=0</formula>
    </cfRule>
  </conditionalFormatting>
  <conditionalFormatting sqref="C21:H24">
    <cfRule type="expression" dxfId="137" priority="83">
      <formula>$I$17=""</formula>
    </cfRule>
  </conditionalFormatting>
  <conditionalFormatting sqref="I21:I23">
    <cfRule type="expression" dxfId="136" priority="70">
      <formula>$I$17=""</formula>
    </cfRule>
  </conditionalFormatting>
  <conditionalFormatting sqref="C45:C46 E45:E46 H45 C46:G46">
    <cfRule type="expression" dxfId="135" priority="102">
      <formula>$I$42=""</formula>
    </cfRule>
  </conditionalFormatting>
  <conditionalFormatting sqref="I27">
    <cfRule type="expression" dxfId="134" priority="63">
      <formula>$I$26=""</formula>
    </cfRule>
  </conditionalFormatting>
  <conditionalFormatting sqref="B27:H27">
    <cfRule type="expression" dxfId="133" priority="64">
      <formula>$I$26=""</formula>
    </cfRule>
  </conditionalFormatting>
  <conditionalFormatting sqref="I43">
    <cfRule type="expression" dxfId="132" priority="1">
      <formula>$I$42="Fjernvarme"</formula>
    </cfRule>
    <cfRule type="expression" dxfId="131" priority="60">
      <formula>$I$42=""</formula>
    </cfRule>
  </conditionalFormatting>
  <conditionalFormatting sqref="C45:I45">
    <cfRule type="expression" dxfId="130" priority="61">
      <formula>$I$42=""</formula>
    </cfRule>
  </conditionalFormatting>
  <conditionalFormatting sqref="C30:J30">
    <cfRule type="expression" dxfId="129" priority="62">
      <formula>$I$26=""</formula>
    </cfRule>
  </conditionalFormatting>
  <conditionalFormatting sqref="H43">
    <cfRule type="expression" dxfId="128" priority="2">
      <formula>$I$42="Varmepumpe"</formula>
    </cfRule>
    <cfRule type="expression" dxfId="127" priority="56">
      <formula>$I$42=""</formula>
    </cfRule>
  </conditionalFormatting>
  <conditionalFormatting sqref="G31:H33">
    <cfRule type="expression" dxfId="126" priority="42">
      <formula>$I$17=""</formula>
    </cfRule>
  </conditionalFormatting>
  <conditionalFormatting sqref="C31:H33">
    <cfRule type="expression" dxfId="125" priority="46">
      <formula>$I$17=""</formula>
    </cfRule>
  </conditionalFormatting>
  <conditionalFormatting sqref="C31:F33">
    <cfRule type="expression" dxfId="124" priority="45">
      <formula>$I$17=""</formula>
    </cfRule>
  </conditionalFormatting>
  <conditionalFormatting sqref="G31:H33">
    <cfRule type="expression" dxfId="123" priority="44">
      <formula>$G$22:$H$23=0</formula>
    </cfRule>
  </conditionalFormatting>
  <conditionalFormatting sqref="G33:H33">
    <cfRule type="expression" dxfId="122" priority="43">
      <formula>$G$23=0</formula>
    </cfRule>
  </conditionalFormatting>
  <conditionalFormatting sqref="C31:H34">
    <cfRule type="expression" dxfId="121" priority="41">
      <formula>$I$17=""</formula>
    </cfRule>
  </conditionalFormatting>
  <conditionalFormatting sqref="I31:I33">
    <cfRule type="expression" dxfId="120" priority="23">
      <formula>$J$27="OK5"</formula>
    </cfRule>
    <cfRule type="expression" dxfId="119" priority="30">
      <formula>$I$17=""</formula>
    </cfRule>
  </conditionalFormatting>
  <conditionalFormatting sqref="G34:H34">
    <cfRule type="expression" dxfId="118" priority="24">
      <formula>$J$27="OK5"</formula>
    </cfRule>
  </conditionalFormatting>
  <conditionalFormatting sqref="I34">
    <cfRule type="expression" dxfId="117" priority="25">
      <formula>$J$27="OK4"</formula>
    </cfRule>
  </conditionalFormatting>
  <conditionalFormatting sqref="C31:I34">
    <cfRule type="expression" dxfId="116" priority="28">
      <formula>$J$26="OK2"</formula>
    </cfRule>
    <cfRule type="expression" dxfId="115" priority="29">
      <formula>$J$26="OK1"</formula>
    </cfRule>
  </conditionalFormatting>
  <conditionalFormatting sqref="C31:I33">
    <cfRule type="expression" dxfId="114" priority="26">
      <formula>$J$27="OK4"</formula>
    </cfRule>
    <cfRule type="expression" dxfId="113" priority="27">
      <formula>$J$27="OK5"</formula>
    </cfRule>
  </conditionalFormatting>
  <conditionalFormatting sqref="Q16:R16">
    <cfRule type="expression" dxfId="112" priority="21">
      <formula>$I$27="Nej"</formula>
    </cfRule>
    <cfRule type="expression" dxfId="111" priority="22">
      <formula>$I$26="Nej"</formula>
    </cfRule>
  </conditionalFormatting>
  <conditionalFormatting sqref="Q16:S16 Q18:S19 Q17 S17 Q21:S21 Q20 S20 S23 R22:S22">
    <cfRule type="expression" dxfId="110" priority="20">
      <formula>$I$27=""</formula>
    </cfRule>
  </conditionalFormatting>
  <conditionalFormatting sqref="Q22:R22">
    <cfRule type="expression" dxfId="109" priority="19">
      <formula>$I$27="Nej"</formula>
    </cfRule>
  </conditionalFormatting>
  <conditionalFormatting sqref="Q22">
    <cfRule type="expression" dxfId="108" priority="12">
      <formula>$I$26="Nej"</formula>
    </cfRule>
    <cfRule type="expression" dxfId="107" priority="17">
      <formula>$I$27=""</formula>
    </cfRule>
  </conditionalFormatting>
  <conditionalFormatting sqref="Q16:R16 Q18:R19 Q17 Q21:R21 Q20">
    <cfRule type="expression" dxfId="106" priority="16">
      <formula>$J$26="Nej"</formula>
    </cfRule>
  </conditionalFormatting>
  <conditionalFormatting sqref="R22">
    <cfRule type="expression" dxfId="105" priority="13">
      <formula>$I$26="Nej"</formula>
    </cfRule>
    <cfRule type="expression" dxfId="104" priority="15">
      <formula>$I$27="Nej"</formula>
    </cfRule>
  </conditionalFormatting>
  <conditionalFormatting sqref="Q17:Q21">
    <cfRule type="expression" dxfId="103" priority="14">
      <formula>$I$27="Nej"</formula>
    </cfRule>
  </conditionalFormatting>
  <conditionalFormatting sqref="R17:R21">
    <cfRule type="expression" dxfId="102" priority="9">
      <formula>$I$26="Nej"</formula>
    </cfRule>
    <cfRule type="expression" dxfId="101" priority="10">
      <formula>$I$27="Nej"</formula>
    </cfRule>
    <cfRule type="expression" dxfId="100" priority="11">
      <formula>$I$27=""</formula>
    </cfRule>
  </conditionalFormatting>
  <conditionalFormatting sqref="I43">
    <cfRule type="expression" dxfId="99" priority="59">
      <formula>$I$42="Varmepumpe"</formula>
    </cfRule>
  </conditionalFormatting>
  <dataValidations count="6">
    <dataValidation allowBlank="1" showErrorMessage="1" sqref="C17:C19"/>
    <dataValidation allowBlank="1" showErrorMessage="1" prompt="Her indtastes optælling af specifikke samlede antal lyskilder, og ikke antal lamper/lysarmaturer. Hvis der f.eks, er to, tre eller fire lyskilder i en lampe/lysaramtur, så skal der optælles hhv. to, tre eller fire lyskilder." sqref="F16:I16 F25:I25 I20:I24 G24 G34 I31:I34"/>
    <dataValidation type="whole" allowBlank="1" showInputMessage="1" showErrorMessage="1" sqref="B31">
      <formula1>0</formula1>
      <formula2>10000</formula2>
    </dataValidation>
    <dataValidation allowBlank="1" showErrorMessage="1" prompt="Her indtastes de antal timer pr. døgn, hvor der normalt er behov for belysning, f.eks. normal kontortid, åbningstid, produktionstid osv. Hvis ingen brugstid, så skal felter være blanke." sqref="B33"/>
    <dataValidation type="whole" allowBlank="1" showInputMessage="1" showErrorMessage="1" prompt="Den nye virkningsgrad  kan f.eks. findes i kedlens datablad. Hvis der ikke er valgt en specifik kedel til efter-situation kan normvirkningsgraderne fra tabel 2 i vejledningen benyttes" sqref="E46:G46">
      <formula1>50</formula1>
      <formula2>105</formula2>
    </dataValidation>
    <dataValidation type="whole" allowBlank="1" showInputMessage="1" showErrorMessage="1" sqref="C40:D40">
      <formula1>0</formula1>
      <formula2>1000</formula2>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4342" r:id="rId4">
          <objectPr defaultSize="0" autoPict="0" r:id="rId5">
            <anchor moveWithCells="1">
              <from>
                <xdr:col>16</xdr:col>
                <xdr:colOff>57150</xdr:colOff>
                <xdr:row>50</xdr:row>
                <xdr:rowOff>152400</xdr:rowOff>
              </from>
              <to>
                <xdr:col>18</xdr:col>
                <xdr:colOff>19050</xdr:colOff>
                <xdr:row>57</xdr:row>
                <xdr:rowOff>133350</xdr:rowOff>
              </to>
            </anchor>
          </objectPr>
        </oleObject>
      </mc:Choice>
      <mc:Fallback>
        <oleObject progId="AcroExch.Document.DC" dvAspect="DVASPECT_ICON" shapeId="14342"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79" id="{7C135E04-66A3-4464-8C1E-73484D8DB09D}">
            <xm:f>$I$17='Grise - regneark'!$B$13</xm:f>
            <x14:dxf>
              <font>
                <color auto="1"/>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80" id="{96E2B487-F735-4E6A-AA7B-FD482126F4FE}">
            <xm:f>$I$17='Grise - regneark'!$B$13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81" id="{EEFEB1E7-D64F-4126-BD01-3BF0282DD006}">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82" id="{9CD06E3C-5FAA-40A7-91F6-107DCD5829CF}">
            <xm:f>$I$17='Grise - regneark'!$B$13</xm:f>
            <x14:dxf/>
          </x14:cfRule>
          <xm:sqref>G21:H23</xm:sqref>
        </x14:conditionalFormatting>
        <x14:conditionalFormatting xmlns:xm="http://schemas.microsoft.com/office/excel/2006/main">
          <x14:cfRule type="iconSet" priority="91" id="{62B816C2-A8D3-4B71-8963-075D09103E90}">
            <x14:iconSet iconSet="3Symbols2" custom="1">
              <x14:cfvo type="percent">
                <xm:f>0</xm:f>
              </x14:cfvo>
              <x14:cfvo type="num">
                <xm:f>-0.5</xm:f>
              </x14:cfvo>
              <x14:cfvo type="num">
                <xm:f>0.5</xm:f>
              </x14:cfvo>
              <x14:cfIcon iconSet="3Symbols2" iconId="0"/>
              <x14:cfIcon iconSet="3Symbols2" iconId="1"/>
              <x14:cfIcon iconSet="3Symbols2" iconId="2"/>
            </x14:iconSet>
          </x14:cfRule>
          <xm:sqref>J14</xm:sqref>
        </x14:conditionalFormatting>
        <x14:conditionalFormatting xmlns:xm="http://schemas.microsoft.com/office/excel/2006/main">
          <x14:cfRule type="iconSet" priority="92" id="{38C837F3-8F5E-401B-BAA5-434395184FD0}">
            <x14:iconSet iconSet="3Symbols2" custom="1">
              <x14:cfvo type="percent">
                <xm:f>0</xm:f>
              </x14:cfvo>
              <x14:cfvo type="num">
                <xm:f>-0.5</xm:f>
              </x14:cfvo>
              <x14:cfvo type="num">
                <xm:f>0.5</xm:f>
              </x14:cfvo>
              <x14:cfIcon iconSet="3Symbols2" iconId="0"/>
              <x14:cfIcon iconSet="3Symbols2" iconId="1"/>
              <x14:cfIcon iconSet="3Symbols2" iconId="2"/>
            </x14:iconSet>
          </x14:cfRule>
          <xm:sqref>R12 S8:S12</xm:sqref>
        </x14:conditionalFormatting>
        <x14:conditionalFormatting xmlns:xm="http://schemas.microsoft.com/office/excel/2006/main">
          <x14:cfRule type="iconSet" priority="90" id="{7AF7E5E9-E6F1-4EB7-A561-C9322C19BCF8}">
            <x14:iconSet iconSet="3Symbols2" custom="1">
              <x14:cfvo type="percent">
                <xm:f>0</xm:f>
              </x14:cfvo>
              <x14:cfvo type="num">
                <xm:f>-0.5</xm:f>
              </x14:cfvo>
              <x14:cfvo type="num">
                <xm:f>0.5</xm:f>
              </x14:cfvo>
              <x14:cfIcon iconSet="3Symbols2" iconId="0"/>
              <x14:cfIcon iconSet="3Symbols2" iconId="1"/>
              <x14:cfIcon iconSet="3Symbols2" iconId="2"/>
            </x14:iconSet>
          </x14:cfRule>
          <xm:sqref>I13</xm:sqref>
        </x14:conditionalFormatting>
        <x14:conditionalFormatting xmlns:xm="http://schemas.microsoft.com/office/excel/2006/main">
          <x14:cfRule type="expression" priority="93" id="{60BD7B92-CEB1-49FC-8383-4A6F72A65D47}">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94" id="{04A67B06-810A-4C88-94EE-405DC3D5C9C3}">
            <xm:f>$I$17='Grise - regneark'!$B$13</xm:f>
            <x14:dxf>
              <fill>
                <patternFill>
                  <bgColor theme="9" tint="0.59996337778862885"/>
                </patternFill>
              </fill>
              <border>
                <left style="thin">
                  <color auto="1"/>
                </left>
                <right/>
                <top/>
                <bottom/>
                <vertical/>
                <horizontal/>
              </border>
            </x14:dxf>
          </x14:cfRule>
          <x14:cfRule type="expression" priority="95" id="{284E4D39-86AE-4F0F-A7D1-4A1254E5FD49}">
            <xm:f>$I$17='Grise - regneark'!$B$13</xm:f>
            <x14:dxf>
              <fill>
                <patternFill>
                  <bgColor theme="9" tint="0.59996337778862885"/>
                </patternFill>
              </fill>
              <border>
                <left style="thin">
                  <color auto="1"/>
                </left>
                <right/>
                <top/>
                <bottom/>
                <vertical/>
                <horizontal/>
              </border>
            </x14:dxf>
          </x14:cfRule>
          <x14:cfRule type="expression" priority="96" id="{34AFF3D6-B67E-4257-90D3-110FC96F85D5}">
            <xm:f>$I$17='Grise - regneark'!$B$13</xm:f>
            <x14:dxf/>
          </x14:cfRule>
          <x14:cfRule type="expression" priority="97" id="{05380E90-80A0-420B-88AA-1EF62A6B2D9E}">
            <xm:f>$I$17='Grise - regneark'!$B$13</xm:f>
            <x14:dxf>
              <fill>
                <patternFill>
                  <bgColor theme="9" tint="0.59996337778862885"/>
                </patternFill>
              </fill>
              <border>
                <left/>
                <right style="thin">
                  <color auto="1"/>
                </right>
                <top style="thin">
                  <color auto="1"/>
                </top>
                <bottom style="thin">
                  <color auto="1"/>
                </bottom>
                <vertical/>
                <horizontal/>
              </border>
            </x14:dxf>
          </x14:cfRule>
          <x14:cfRule type="expression" priority="98" id="{5E3C39C5-A78C-4350-921B-46EE276BFCDC}">
            <xm:f>$I$17='Grise - regneark'!$B$13</xm:f>
            <x14:dxf>
              <fill>
                <patternFill>
                  <bgColor theme="9" tint="0.59996337778862885"/>
                </patternFill>
              </fill>
              <border>
                <left/>
                <right/>
                <top/>
                <bottom/>
                <vertical/>
                <horizontal/>
              </border>
            </x14:dxf>
          </x14:cfRule>
          <x14:cfRule type="expression" priority="99" id="{80FD3326-712A-43C4-BD2F-E906171871FE}">
            <xm:f>$G$21='Grise - regneark'!$B$13</xm:f>
            <x14:dxf>
              <fill>
                <patternFill>
                  <bgColor theme="9" tint="0.59996337778862885"/>
                </patternFill>
              </fill>
              <border>
                <left/>
                <right/>
                <top/>
                <bottom/>
                <vertical/>
                <horizontal/>
              </border>
            </x14:dxf>
          </x14:cfRule>
          <xm:sqref>G21:H23</xm:sqref>
        </x14:conditionalFormatting>
        <x14:conditionalFormatting xmlns:xm="http://schemas.microsoft.com/office/excel/2006/main">
          <x14:cfRule type="expression" priority="100" id="{54C00845-299B-43D9-949B-5F914483FF26}">
            <xm:f>$I$17='Grise - regneark'!$B$13</xm:f>
            <x14:dxf/>
          </x14:cfRule>
          <xm:sqref>C21:F23</xm:sqref>
        </x14:conditionalFormatting>
        <x14:conditionalFormatting xmlns:xm="http://schemas.microsoft.com/office/excel/2006/main">
          <x14:cfRule type="expression" priority="101" id="{B62BD14C-8780-4320-9C97-D6E264A15B27}">
            <xm:f>$I$17='Grise - regneark'!$B$13</xm:f>
            <x14:dxf>
              <font>
                <color theme="9" tint="0.59996337778862885"/>
              </font>
              <fill>
                <patternFill>
                  <bgColor theme="9" tint="0.59996337778862885"/>
                </patternFill>
              </fill>
              <border>
                <left style="thin">
                  <color auto="1"/>
                </left>
                <right/>
                <top/>
                <bottom/>
                <vertical/>
                <horizontal/>
              </border>
            </x14:dxf>
          </x14:cfRule>
          <xm:sqref>G21:H23</xm:sqref>
        </x14:conditionalFormatting>
        <x14:conditionalFormatting xmlns:xm="http://schemas.microsoft.com/office/excel/2006/main">
          <x14:cfRule type="expression" priority="77" id="{57AEAD01-B1CD-4E97-B6CB-3733194E06B9}">
            <xm:f>$I$17='Grise - regneark'!$B$13</xm:f>
            <x14:dxf>
              <font>
                <color theme="9" tint="0.59996337778862885"/>
              </font>
            </x14:dxf>
          </x14:cfRule>
          <x14:cfRule type="expression" priority="78" id="{D8343033-70EA-418F-9D0C-14D7F88D82EC}">
            <xm:f>$I$17='Grise - regneark'!$C$13</xm:f>
            <x14:dxf/>
          </x14:cfRule>
          <xm:sqref>I20</xm:sqref>
        </x14:conditionalFormatting>
        <x14:conditionalFormatting xmlns:xm="http://schemas.microsoft.com/office/excel/2006/main">
          <x14:cfRule type="expression" priority="74" id="{EB2948DF-68AE-4A74-8F57-9BE63F653EA3}">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75" id="{581AF6B9-90F3-41F4-B144-09248500A454}">
            <xm:f>$I$17='Grise - regneark'!$C$13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76" id="{2963AE14-CC57-46DE-8798-644B0876AF71}">
            <xm:f>$I$17='Grise - regneark'!$C$13</xm:f>
            <x14:dxf/>
          </x14:cfRule>
          <xm:sqref>I21:I23</xm:sqref>
        </x14:conditionalFormatting>
        <x14:conditionalFormatting xmlns:xm="http://schemas.microsoft.com/office/excel/2006/main">
          <x14:cfRule type="expression" priority="73" id="{9DB64960-12D2-425E-AD66-FC9FAD6B3C15}">
            <xm:f>$I$17='Grise - regneark'!$B$13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m:sqref>G24:H24</xm:sqref>
        </x14:conditionalFormatting>
        <x14:conditionalFormatting xmlns:xm="http://schemas.microsoft.com/office/excel/2006/main">
          <x14:cfRule type="expression" priority="71" id="{CC509596-105E-4F31-BF8C-60BCF692BD00}">
            <xm:f>$I$17='Grise - regneark'!$C$13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72" id="{7775FE99-BF52-431B-89E5-1EF25A026B56}">
            <xm:f>$I$17='Grise - regneark'!$C$13</xm:f>
            <x14:dxf>
              <font>
                <b/>
                <i val="0"/>
              </font>
              <fill>
                <patternFill>
                  <bgColor theme="9" tint="0.59996337778862885"/>
                </patternFill>
              </fill>
              <border>
                <left style="thin">
                  <color auto="1"/>
                </left>
                <right style="thin">
                  <color auto="1"/>
                </right>
                <top style="thin">
                  <color auto="1"/>
                </top>
                <bottom style="thin">
                  <color auto="1"/>
                </bottom>
                <vertical/>
                <horizontal/>
              </border>
            </x14:dxf>
          </x14:cfRule>
          <xm:sqref>I24</xm:sqref>
        </x14:conditionalFormatting>
        <x14:conditionalFormatting xmlns:xm="http://schemas.microsoft.com/office/excel/2006/main">
          <x14:cfRule type="expression" priority="69" id="{408C2711-453C-4A4F-96FE-10DF7C84A8F9}">
            <xm:f>$I$26='Grise - regneark'!$C$25</xm:f>
            <x14:dxf>
              <font>
                <color theme="9" tint="0.59996337778862885"/>
              </font>
              <fill>
                <patternFill>
                  <bgColor theme="9" tint="0.59996337778862885"/>
                </patternFill>
              </fill>
              <border>
                <left/>
                <right/>
                <top style="thin">
                  <color auto="1"/>
                </top>
                <bottom/>
                <vertical/>
                <horizontal/>
              </border>
            </x14:dxf>
          </x14:cfRule>
          <xm:sqref>I27</xm:sqref>
        </x14:conditionalFormatting>
        <x14:conditionalFormatting xmlns:xm="http://schemas.microsoft.com/office/excel/2006/main">
          <x14:cfRule type="expression" priority="68" id="{3AF437FA-0592-4C91-8B8F-77C218B485ED}">
            <xm:f>$I$26='Grise - regneark'!$C$25</xm:f>
            <x14:dxf>
              <font>
                <color theme="9" tint="0.59996337778862885"/>
              </font>
              <fill>
                <patternFill>
                  <bgColor theme="9" tint="0.59996337778862885"/>
                </patternFill>
              </fill>
              <border>
                <left/>
                <right/>
                <top/>
                <bottom/>
                <vertical/>
                <horizontal/>
              </border>
            </x14:dxf>
          </x14:cfRule>
          <xm:sqref>B27:H27</xm:sqref>
        </x14:conditionalFormatting>
        <x14:conditionalFormatting xmlns:xm="http://schemas.microsoft.com/office/excel/2006/main">
          <x14:cfRule type="expression" priority="103" id="{896837F2-A916-4C25-A770-F713DB6A9E89}">
            <xm:f>$I$42='Grise - regneark'!$D$28</xm:f>
            <x14:dxf>
              <font>
                <color theme="9" tint="0.59996337778862885"/>
              </font>
              <fill>
                <patternFill>
                  <bgColor theme="9" tint="0.59996337778862885"/>
                </patternFill>
              </fill>
              <border>
                <left/>
                <right/>
                <top/>
                <bottom/>
                <vertical/>
                <horizontal/>
              </border>
            </x14:dxf>
          </x14:cfRule>
          <x14:cfRule type="expression" priority="104" id="{CF234395-CB74-4506-9EB5-733280EE4101}">
            <xm:f>$I$42='Grise - regneark'!$C$28</xm:f>
            <x14:dxf>
              <font>
                <color theme="9" tint="0.59996337778862885"/>
              </font>
              <fill>
                <patternFill>
                  <bgColor theme="9" tint="0.59996337778862885"/>
                </patternFill>
              </fill>
              <border>
                <left/>
                <right/>
                <top/>
                <bottom/>
                <vertical/>
                <horizontal/>
              </border>
            </x14:dxf>
          </x14:cfRule>
          <xm:sqref>C45:C46 E45:E46 H45</xm:sqref>
        </x14:conditionalFormatting>
        <x14:conditionalFormatting xmlns:xm="http://schemas.microsoft.com/office/excel/2006/main">
          <x14:cfRule type="expression" priority="67" id="{F30A846D-7472-4013-8C69-38E5FCF10638}">
            <xm:f>$I$42='Grise - regneark'!$B$28</xm:f>
            <x14:dxf>
              <font>
                <color theme="9" tint="0.59996337778862885"/>
              </font>
              <fill>
                <patternFill>
                  <bgColor theme="9" tint="0.59996337778862885"/>
                </patternFill>
              </fill>
              <border>
                <left/>
                <right/>
                <top style="thin">
                  <color auto="1"/>
                </top>
                <bottom/>
                <vertical/>
                <horizontal/>
              </border>
            </x14:dxf>
          </x14:cfRule>
          <xm:sqref>I43</xm:sqref>
        </x14:conditionalFormatting>
        <x14:conditionalFormatting xmlns:xm="http://schemas.microsoft.com/office/excel/2006/main">
          <x14:cfRule type="expression" priority="66" id="{31EF0475-CF05-4225-892E-F08DC8F47C30}">
            <xm:f>$I$42='Grise - regneark'!$C$28</xm:f>
            <x14:dxf>
              <font>
                <color theme="9" tint="0.59996337778862885"/>
              </font>
              <fill>
                <patternFill>
                  <bgColor theme="9" tint="0.59996337778862885"/>
                </patternFill>
              </fill>
              <border>
                <left/>
                <right/>
                <top/>
                <bottom/>
                <vertical/>
                <horizontal/>
              </border>
            </x14:dxf>
          </x14:cfRule>
          <xm:sqref>C45:I45 C46:G46</xm:sqref>
        </x14:conditionalFormatting>
        <x14:conditionalFormatting xmlns:xm="http://schemas.microsoft.com/office/excel/2006/main">
          <x14:cfRule type="expression" priority="65" id="{329C9B3A-1B57-4F4F-AE12-1EDF79217116}">
            <xm:f>$I$42='Grise - regneark'!$D$28</xm:f>
            <x14:dxf>
              <font>
                <color theme="9" tint="0.59996337778862885"/>
              </font>
              <fill>
                <patternFill>
                  <bgColor theme="9" tint="0.59996337778862885"/>
                </patternFill>
              </fill>
              <border>
                <left/>
                <right/>
                <top/>
                <bottom/>
                <vertical/>
                <horizontal/>
              </border>
            </x14:dxf>
          </x14:cfRule>
          <xm:sqref>C45:I45 C47:I47 C46:G46</xm:sqref>
        </x14:conditionalFormatting>
        <x14:conditionalFormatting xmlns:xm="http://schemas.microsoft.com/office/excel/2006/main">
          <x14:cfRule type="expression" priority="57" id="{A7A607D6-1FE8-4260-A2B2-DD5552ED7C28}">
            <xm:f>$I$42='Grise - regneark'!$C$28</xm:f>
            <x14:dxf>
              <font>
                <color theme="9" tint="0.59996337778862885"/>
              </font>
              <fill>
                <patternFill>
                  <bgColor theme="9" tint="0.59996337778862885"/>
                </patternFill>
              </fill>
              <border>
                <left/>
                <right/>
                <top/>
                <bottom/>
                <vertical/>
                <horizontal/>
              </border>
            </x14:dxf>
          </x14:cfRule>
          <x14:cfRule type="expression" priority="58" id="{63B97619-BB68-466D-910D-7989A98EE3E7}">
            <xm:f>$I$42='Grise - regneark'!$B$28</xm:f>
            <x14:dxf>
              <font>
                <color theme="9" tint="0.59996337778862885"/>
              </font>
              <fill>
                <patternFill>
                  <bgColor theme="9" tint="0.59996337778862885"/>
                </patternFill>
              </fill>
              <border>
                <left/>
                <right/>
                <top/>
                <bottom/>
                <vertical/>
                <horizontal/>
              </border>
            </x14:dxf>
          </x14:cfRule>
          <xm:sqref>H43</xm:sqref>
        </x14:conditionalFormatting>
        <x14:conditionalFormatting xmlns:xm="http://schemas.microsoft.com/office/excel/2006/main">
          <x14:cfRule type="expression" priority="37" id="{92B4CC28-9988-446C-B671-7875F8C43A8C}">
            <xm:f>$I$17='Grise - regneark'!$B$13</xm:f>
            <x14:dxf>
              <font>
                <color auto="1"/>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8" id="{6060FD24-EF06-4E09-8ADA-953A60B3C03D}">
            <xm:f>$I$17='Grise - regneark'!$B$13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9" id="{D204F6E4-464F-477D-A701-55596C86965D}">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40" id="{AA769111-55F1-4B26-A631-8C98914A24F7}">
            <xm:f>$I$17='Grise - regneark'!$B$13</xm:f>
            <x14:dxf/>
          </x14:cfRule>
          <xm:sqref>G31:H33</xm:sqref>
        </x14:conditionalFormatting>
        <x14:conditionalFormatting xmlns:xm="http://schemas.microsoft.com/office/excel/2006/main">
          <x14:cfRule type="expression" priority="47" id="{4AB97551-E688-4545-ACE7-9B8DF9FD84BD}">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48" id="{4DFB093C-203A-46D1-8717-F8BF3DFBE595}">
            <xm:f>$I$17='Grise - regneark'!$B$13</xm:f>
            <x14:dxf>
              <fill>
                <patternFill>
                  <bgColor theme="9" tint="0.59996337778862885"/>
                </patternFill>
              </fill>
              <border>
                <left style="thin">
                  <color auto="1"/>
                </left>
                <right/>
                <top/>
                <bottom/>
                <vertical/>
                <horizontal/>
              </border>
            </x14:dxf>
          </x14:cfRule>
          <x14:cfRule type="expression" priority="49" id="{EFAC291A-2EAA-4B29-A259-85DEFCE268AE}">
            <xm:f>$I$17='Grise - regneark'!$B$13</xm:f>
            <x14:dxf>
              <fill>
                <patternFill>
                  <bgColor theme="9" tint="0.59996337778862885"/>
                </patternFill>
              </fill>
              <border>
                <left style="thin">
                  <color auto="1"/>
                </left>
                <right/>
                <top/>
                <bottom/>
                <vertical/>
                <horizontal/>
              </border>
            </x14:dxf>
          </x14:cfRule>
          <x14:cfRule type="expression" priority="50" id="{110465BA-0411-4798-B93B-6C37B7200DD0}">
            <xm:f>$I$17='Grise - regneark'!$B$13</xm:f>
            <x14:dxf/>
          </x14:cfRule>
          <x14:cfRule type="expression" priority="51" id="{2E8C3BD8-4CBC-41D2-920E-497E8E4E8E29}">
            <xm:f>$I$17='Grise - regneark'!$B$13</xm:f>
            <x14:dxf>
              <fill>
                <patternFill>
                  <bgColor theme="9" tint="0.59996337778862885"/>
                </patternFill>
              </fill>
              <border>
                <left/>
                <right style="thin">
                  <color auto="1"/>
                </right>
                <top style="thin">
                  <color auto="1"/>
                </top>
                <bottom style="thin">
                  <color auto="1"/>
                </bottom>
                <vertical/>
                <horizontal/>
              </border>
            </x14:dxf>
          </x14:cfRule>
          <x14:cfRule type="expression" priority="52" id="{A2F6BE2A-95EB-47D4-8A61-FA423B6E8F24}">
            <xm:f>$I$17='Grise - regneark'!$B$13</xm:f>
            <x14:dxf>
              <fill>
                <patternFill>
                  <bgColor theme="9" tint="0.59996337778862885"/>
                </patternFill>
              </fill>
              <border>
                <left/>
                <right/>
                <top/>
                <bottom/>
                <vertical/>
                <horizontal/>
              </border>
            </x14:dxf>
          </x14:cfRule>
          <x14:cfRule type="expression" priority="53" id="{4E063A70-58A7-4FBD-92D1-5371A9DC3251}">
            <xm:f>$G$21='Grise - regneark'!$B$13</xm:f>
            <x14:dxf>
              <fill>
                <patternFill>
                  <bgColor theme="9" tint="0.59996337778862885"/>
                </patternFill>
              </fill>
              <border>
                <left/>
                <right/>
                <top/>
                <bottom/>
                <vertical/>
                <horizontal/>
              </border>
            </x14:dxf>
          </x14:cfRule>
          <xm:sqref>G31:H33</xm:sqref>
        </x14:conditionalFormatting>
        <x14:conditionalFormatting xmlns:xm="http://schemas.microsoft.com/office/excel/2006/main">
          <x14:cfRule type="expression" priority="54" id="{1E446292-16A8-4AF0-9530-FE3705214F76}">
            <xm:f>$I$17='Grise - regneark'!$B$13</xm:f>
            <x14:dxf/>
          </x14:cfRule>
          <xm:sqref>C31:F33</xm:sqref>
        </x14:conditionalFormatting>
        <x14:conditionalFormatting xmlns:xm="http://schemas.microsoft.com/office/excel/2006/main">
          <x14:cfRule type="expression" priority="55" id="{B79C3312-75FE-4E9B-AB3E-C85955BBCE52}">
            <xm:f>$I$17='Grise - regneark'!$B$13</xm:f>
            <x14:dxf>
              <font>
                <color theme="9" tint="0.59996337778862885"/>
              </font>
              <fill>
                <patternFill>
                  <bgColor theme="9" tint="0.59996337778862885"/>
                </patternFill>
              </fill>
              <border>
                <left style="thin">
                  <color auto="1"/>
                </left>
                <right/>
                <top/>
                <bottom/>
                <vertical/>
                <horizontal/>
              </border>
            </x14:dxf>
          </x14:cfRule>
          <xm:sqref>G31:H33</xm:sqref>
        </x14:conditionalFormatting>
        <x14:conditionalFormatting xmlns:xm="http://schemas.microsoft.com/office/excel/2006/main">
          <x14:cfRule type="expression" priority="34" id="{0CBAF594-74E5-4B4D-A7B5-C4AAC27729E6}">
            <xm:f>$I$17='Grise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35" id="{E2070ACD-A92E-4A8A-BB8B-E33AF012CEFF}">
            <xm:f>$I$17='Grise - regneark'!$C$13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6" id="{E6A72181-EEF6-4464-8471-BD4C9C0D361D}">
            <xm:f>$I$17='Grise - regneark'!$C$13</xm:f>
            <x14:dxf/>
          </x14:cfRule>
          <xm:sqref>I31:I33</xm:sqref>
        </x14:conditionalFormatting>
        <x14:conditionalFormatting xmlns:xm="http://schemas.microsoft.com/office/excel/2006/main">
          <x14:cfRule type="expression" priority="33" id="{08B0ED6A-3ED2-44F2-8BD6-6D724447BF6F}">
            <xm:f>$I$17='Grise - regneark'!$B$13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m:sqref>G34:H34</xm:sqref>
        </x14:conditionalFormatting>
        <x14:conditionalFormatting xmlns:xm="http://schemas.microsoft.com/office/excel/2006/main">
          <x14:cfRule type="expression" priority="31" id="{C1143562-7096-4429-8B91-ADE2FBBCA50E}">
            <xm:f>$I$17='Grise - regneark'!$C$13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2" id="{34750695-3383-4BAE-83EC-83BC7CDF0E2D}">
            <xm:f>$I$17='Grise - regneark'!$C$13</xm:f>
            <x14:dxf>
              <font>
                <b/>
                <i val="0"/>
              </font>
              <fill>
                <patternFill>
                  <bgColor theme="9" tint="0.59996337778862885"/>
                </patternFill>
              </fill>
              <border>
                <left style="thin">
                  <color auto="1"/>
                </left>
                <right style="thin">
                  <color auto="1"/>
                </right>
                <top style="thin">
                  <color auto="1"/>
                </top>
                <bottom style="thin">
                  <color auto="1"/>
                </bottom>
                <vertical/>
                <horizontal/>
              </border>
            </x14:dxf>
          </x14:cfRule>
          <xm:sqref>I34</xm:sqref>
        </x14:conditionalFormatting>
        <x14:conditionalFormatting xmlns:xm="http://schemas.microsoft.com/office/excel/2006/main">
          <x14:cfRule type="expression" priority="4" id="{F70974DF-B460-489C-A91B-8328F3A045DA}">
            <xm:f>'Grise - regneark'!$C$31&gt;2</xm:f>
            <x14:dxf>
              <fill>
                <patternFill>
                  <bgColor theme="0" tint="-0.14996795556505021"/>
                </patternFill>
              </fill>
              <border>
                <left style="thin">
                  <color auto="1"/>
                </left>
                <right style="thin">
                  <color auto="1"/>
                </right>
                <top style="thin">
                  <color auto="1"/>
                </top>
                <bottom style="thin">
                  <color auto="1"/>
                </bottom>
              </border>
            </x14:dxf>
          </x14:cfRule>
          <xm:sqref>H46:I46</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'Grise - regneark'!$B$10:$C$10</xm:f>
          </x14:formula1>
          <xm:sqref>R8:R11</xm:sqref>
        </x14:dataValidation>
        <x14:dataValidation type="list" allowBlank="1" showInputMessage="1" showErrorMessage="1">
          <x14:formula1>
            <xm:f>'Grise - regneark'!$C$28:$G$28</xm:f>
          </x14:formula1>
          <xm:sqref>I42</xm:sqref>
        </x14:dataValidation>
        <x14:dataValidation type="list" allowBlank="1" showInputMessage="1" showErrorMessage="1">
          <x14:formula1>
            <xm:f>'Grise - regneark'!$B$25:$C$25</xm:f>
          </x14:formula1>
          <xm:sqref>I27</xm:sqref>
        </x14:dataValidation>
        <x14:dataValidation type="list" allowBlank="1" showInputMessage="1" showErrorMessage="1">
          <x14:formula1>
            <xm:f>'Forbrugsberegner 3'!$L$95:$L$99</xm:f>
          </x14:formula1>
          <xm:sqref>I36</xm:sqref>
        </x14:dataValidation>
        <x14:dataValidation type="list" allowBlank="1" showErrorMessage="1" prompt="Her indtastes optælling af specifikke samlede antal lyskilder, og ikke antal lamper/lysarmaturer. Hvis der f.eks, er to, tre eller fire lyskilder i en lampe/lysaramtur, så skal der optælles hhv. to, tre eller fire lyskilder.">
          <x14:formula1>
            <xm:f>'Grise - regneark'!$B$22:$C$22</xm:f>
          </x14:formula1>
          <xm:sqref>I26</xm:sqref>
        </x14:dataValidation>
        <x14:dataValidation type="list" allowBlank="1" showInputMessage="1" showErrorMessage="1">
          <x14:formula1>
            <xm:f>IF($I$17='Grise - regneark'!$B$13,'Grise - regneark'!$B$16:$D$16,'Grise - regneark'!$B$19:$D$19)</xm:f>
          </x14:formula1>
          <xm:sqref>C21:D23 C31:D33</xm:sqref>
        </x14:dataValidation>
        <x14:dataValidation type="list" allowBlank="1" showErrorMessage="1" error="Der kan indtastes værdier mellem 0 og 24">
          <x14:formula1>
            <xm:f>'Grise - regneark'!$B$13:$C$13</xm:f>
          </x14:formula1>
          <xm:sqref>I17</xm:sqref>
        </x14:dataValidation>
        <x14:dataValidation type="whole" allowBlank="1" showInputMessage="1" showErrorMessage="1" prompt="Indtast årgang for eksisterende kedel. Årstallet kan typisk findes på kedlens mærkeplade. Hvis ansøger har to kedler med samme brændsel kan en gennemsnit af årstallet benyttes">
          <x14:formula1>
            <xm:f>1950</xm:f>
          </x14:formula1>
          <x14:formula2>
            <xm:f>'Forbrugsberegner 2'!D17</xm:f>
          </x14:formula2>
          <xm:sqref>E40:F40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sheetPr>
  <dimension ref="A1:AA62"/>
  <sheetViews>
    <sheetView zoomScale="85" zoomScaleNormal="85" workbookViewId="0">
      <selection activeCell="Q8" sqref="Q8"/>
    </sheetView>
  </sheetViews>
  <sheetFormatPr defaultColWidth="10.42578125" defaultRowHeight="12.75" customHeight="1" x14ac:dyDescent="0.15"/>
  <cols>
    <col min="1" max="1" width="3.5703125" style="116" customWidth="1"/>
    <col min="2" max="2" width="4.42578125" style="530" customWidth="1"/>
    <col min="3" max="3" width="8" style="116" customWidth="1"/>
    <col min="4" max="4" width="12.140625" style="116" customWidth="1"/>
    <col min="5" max="5" width="10.85546875" style="116" customWidth="1"/>
    <col min="6" max="6" width="15.140625" style="116" customWidth="1"/>
    <col min="7" max="7" width="19.28515625" style="116" customWidth="1"/>
    <col min="8" max="8" width="7.85546875" style="116" customWidth="1"/>
    <col min="9" max="9" width="17.85546875" style="116" customWidth="1"/>
    <col min="10" max="10" width="21.5703125" style="116" customWidth="1"/>
    <col min="11" max="11" width="2.140625" style="116" customWidth="1"/>
    <col min="12" max="12" width="0.85546875" style="116" customWidth="1"/>
    <col min="13" max="13" width="3.140625" style="116" customWidth="1"/>
    <col min="14" max="14" width="35.5703125" style="116" customWidth="1"/>
    <col min="15" max="15" width="20.28515625" style="116" customWidth="1"/>
    <col min="16" max="16" width="16.42578125" style="116" customWidth="1"/>
    <col min="17" max="17" width="11.5703125" style="116" customWidth="1"/>
    <col min="18" max="18" width="3.140625" style="116" customWidth="1"/>
    <col min="19" max="19" width="3.5703125" style="116" customWidth="1"/>
    <col min="20" max="20" width="10.42578125" style="116"/>
    <col min="21" max="21" width="10.85546875" style="116" bestFit="1" customWidth="1"/>
    <col min="22" max="16384" width="10.42578125" style="116"/>
  </cols>
  <sheetData>
    <row r="1" spans="1:27" ht="12.75" customHeight="1" x14ac:dyDescent="0.2">
      <c r="A1" s="97"/>
      <c r="B1" s="507"/>
      <c r="C1" s="68"/>
      <c r="D1" s="68"/>
      <c r="E1" s="68"/>
      <c r="F1" s="68"/>
      <c r="G1" s="68"/>
      <c r="H1" s="68"/>
      <c r="I1" s="68"/>
      <c r="J1" s="98"/>
      <c r="K1" s="70"/>
      <c r="L1" s="70"/>
      <c r="M1" s="70"/>
      <c r="N1" s="69"/>
      <c r="O1" s="70"/>
      <c r="P1" s="99"/>
      <c r="Q1" s="99"/>
      <c r="R1" s="99"/>
      <c r="S1" s="99"/>
    </row>
    <row r="2" spans="1:27" ht="12.75" customHeight="1" x14ac:dyDescent="0.15">
      <c r="A2" s="70"/>
      <c r="B2" s="631" t="str">
        <f>Beskrivelse!C19</f>
        <v xml:space="preserve">Tiltag 4 Udskiftning af brændselskedler - Konventionelle slagtekyllingestalde </v>
      </c>
      <c r="C2" s="631"/>
      <c r="D2" s="631"/>
      <c r="E2" s="631"/>
      <c r="F2" s="631"/>
      <c r="G2" s="631"/>
      <c r="H2" s="631"/>
      <c r="I2" s="631"/>
      <c r="J2" s="631"/>
      <c r="K2" s="631"/>
      <c r="L2" s="631"/>
      <c r="M2" s="631"/>
      <c r="N2" s="631"/>
      <c r="O2" s="631"/>
      <c r="P2" s="430"/>
      <c r="Q2" s="71"/>
      <c r="R2" s="71"/>
      <c r="S2" s="71"/>
    </row>
    <row r="3" spans="1:27" ht="24" customHeight="1" x14ac:dyDescent="0.25">
      <c r="A3" s="101"/>
      <c r="B3" s="631"/>
      <c r="C3" s="631"/>
      <c r="D3" s="631"/>
      <c r="E3" s="631"/>
      <c r="F3" s="631"/>
      <c r="G3" s="631"/>
      <c r="H3" s="631"/>
      <c r="I3" s="631"/>
      <c r="J3" s="631"/>
      <c r="K3" s="631"/>
      <c r="L3" s="631"/>
      <c r="M3" s="631"/>
      <c r="N3" s="631"/>
      <c r="O3" s="631"/>
      <c r="P3" s="430"/>
      <c r="Q3" s="75"/>
      <c r="R3" s="75"/>
      <c r="S3" s="70"/>
    </row>
    <row r="4" spans="1:27" ht="13.35" customHeight="1" x14ac:dyDescent="0.25">
      <c r="A4" s="101"/>
      <c r="B4" s="631"/>
      <c r="C4" s="631"/>
      <c r="D4" s="631"/>
      <c r="E4" s="631"/>
      <c r="F4" s="631"/>
      <c r="G4" s="631"/>
      <c r="H4" s="631"/>
      <c r="I4" s="631"/>
      <c r="J4" s="631"/>
      <c r="K4" s="631"/>
      <c r="L4" s="631"/>
      <c r="M4" s="631"/>
      <c r="N4" s="631"/>
      <c r="O4" s="631"/>
      <c r="P4" s="70"/>
      <c r="Q4" s="70"/>
      <c r="R4" s="70"/>
      <c r="S4" s="70"/>
    </row>
    <row r="5" spans="1:27" ht="12.75" customHeight="1" x14ac:dyDescent="0.15">
      <c r="A5" s="104"/>
      <c r="B5" s="508"/>
      <c r="C5" s="104"/>
      <c r="D5" s="104"/>
      <c r="E5" s="104"/>
      <c r="F5" s="104"/>
      <c r="G5" s="104"/>
      <c r="H5" s="104"/>
      <c r="I5" s="104"/>
      <c r="J5" s="104"/>
      <c r="K5" s="104"/>
      <c r="L5" s="104"/>
      <c r="M5" s="104"/>
      <c r="N5" s="104"/>
      <c r="O5" s="104"/>
      <c r="P5" s="104"/>
      <c r="Q5" s="104"/>
      <c r="R5" s="104"/>
      <c r="S5" s="104"/>
    </row>
    <row r="6" spans="1:27" ht="11.25" x14ac:dyDescent="0.15">
      <c r="A6" s="70"/>
      <c r="B6" s="587" t="s">
        <v>17</v>
      </c>
      <c r="C6" s="587"/>
      <c r="D6" s="587"/>
      <c r="E6" s="587"/>
      <c r="F6" s="587"/>
      <c r="G6" s="587"/>
      <c r="H6" s="587"/>
      <c r="I6" s="587"/>
      <c r="J6" s="587"/>
      <c r="K6" s="587"/>
      <c r="L6" s="587"/>
      <c r="M6" s="587"/>
      <c r="N6" s="587"/>
      <c r="O6" s="151"/>
      <c r="P6" s="70"/>
      <c r="Q6" s="70"/>
      <c r="R6" s="70"/>
      <c r="S6" s="70"/>
    </row>
    <row r="7" spans="1:27" ht="12.75" customHeight="1" x14ac:dyDescent="0.25">
      <c r="A7" s="70"/>
      <c r="B7" s="587"/>
      <c r="C7" s="587"/>
      <c r="D7" s="587"/>
      <c r="E7" s="587"/>
      <c r="F7" s="587"/>
      <c r="G7" s="587"/>
      <c r="H7" s="587"/>
      <c r="I7" s="587"/>
      <c r="J7" s="587"/>
      <c r="K7" s="587"/>
      <c r="L7" s="587"/>
      <c r="M7" s="587"/>
      <c r="N7" s="587"/>
      <c r="O7" s="146"/>
      <c r="P7" s="146"/>
      <c r="Q7" s="146"/>
      <c r="R7" s="146"/>
      <c r="S7" s="354"/>
    </row>
    <row r="8" spans="1:27" ht="12.75" customHeight="1" x14ac:dyDescent="0.25">
      <c r="A8" s="70"/>
      <c r="B8" s="147" t="s">
        <v>18</v>
      </c>
      <c r="C8" s="605" t="s">
        <v>281</v>
      </c>
      <c r="D8" s="605"/>
      <c r="E8" s="605"/>
      <c r="F8" s="605"/>
      <c r="G8" s="605"/>
      <c r="H8" s="605"/>
      <c r="I8" s="605"/>
      <c r="J8" s="605"/>
      <c r="K8" s="605"/>
      <c r="L8" s="605"/>
      <c r="M8" s="605"/>
      <c r="N8" s="605"/>
      <c r="O8" s="505"/>
      <c r="P8" s="489" t="s">
        <v>352</v>
      </c>
      <c r="Q8" s="148"/>
      <c r="R8" s="137">
        <f>IF(Q8="",0,IF(Q8=P8,1,-1))</f>
        <v>0</v>
      </c>
      <c r="S8" s="354"/>
    </row>
    <row r="9" spans="1:27" ht="12.75" customHeight="1" x14ac:dyDescent="0.25">
      <c r="A9" s="70"/>
      <c r="B9" s="147" t="s">
        <v>18</v>
      </c>
      <c r="C9" s="541" t="s">
        <v>391</v>
      </c>
      <c r="D9" s="505"/>
      <c r="E9" s="505"/>
      <c r="F9" s="505"/>
      <c r="G9" s="505"/>
      <c r="H9" s="505"/>
      <c r="I9" s="505"/>
      <c r="J9" s="505"/>
      <c r="K9" s="505"/>
      <c r="L9" s="505"/>
      <c r="M9" s="505"/>
      <c r="N9" s="505"/>
      <c r="O9" s="505"/>
      <c r="P9" s="489" t="s">
        <v>352</v>
      </c>
      <c r="Q9" s="148"/>
      <c r="R9" s="137">
        <f>IF(Q9="",0,IF(Q9=P9,1,-1))</f>
        <v>0</v>
      </c>
      <c r="S9" s="354"/>
    </row>
    <row r="10" spans="1:27" ht="12.75" customHeight="1" x14ac:dyDescent="0.25">
      <c r="A10" s="70"/>
      <c r="B10" s="147" t="s">
        <v>18</v>
      </c>
      <c r="C10" s="505" t="s">
        <v>357</v>
      </c>
      <c r="D10" s="505"/>
      <c r="E10" s="505"/>
      <c r="F10" s="505"/>
      <c r="G10" s="505"/>
      <c r="H10" s="505"/>
      <c r="I10" s="505"/>
      <c r="J10" s="505"/>
      <c r="K10" s="505"/>
      <c r="L10" s="505"/>
      <c r="M10" s="505"/>
      <c r="N10" s="505"/>
      <c r="O10" s="505"/>
      <c r="P10" s="489" t="s">
        <v>352</v>
      </c>
      <c r="Q10" s="148"/>
      <c r="R10" s="137">
        <f t="shared" ref="R10:R11" si="0">IF(Q10="",0,IF(Q10=P10,1,-1))</f>
        <v>0</v>
      </c>
      <c r="S10" s="354"/>
    </row>
    <row r="11" spans="1:27" ht="12.75" customHeight="1" x14ac:dyDescent="0.25">
      <c r="A11" s="70"/>
      <c r="B11" s="147" t="s">
        <v>18</v>
      </c>
      <c r="C11" s="505" t="s">
        <v>358</v>
      </c>
      <c r="D11" s="505"/>
      <c r="E11" s="505"/>
      <c r="F11" s="505"/>
      <c r="G11" s="505"/>
      <c r="H11" s="505"/>
      <c r="I11" s="505"/>
      <c r="J11" s="505"/>
      <c r="K11" s="505"/>
      <c r="L11" s="505"/>
      <c r="M11" s="505"/>
      <c r="N11" s="505"/>
      <c r="O11" s="505"/>
      <c r="P11" s="489" t="s">
        <v>352</v>
      </c>
      <c r="Q11" s="148"/>
      <c r="R11" s="137">
        <f t="shared" si="0"/>
        <v>0</v>
      </c>
      <c r="S11" s="354"/>
    </row>
    <row r="12" spans="1:27" ht="9.75" customHeight="1" x14ac:dyDescent="0.25">
      <c r="A12" s="70"/>
      <c r="B12" s="147"/>
      <c r="C12" s="365"/>
      <c r="D12" s="365"/>
      <c r="E12" s="365"/>
      <c r="F12" s="365"/>
      <c r="G12" s="365"/>
      <c r="H12" s="365"/>
      <c r="I12" s="365"/>
      <c r="J12" s="365"/>
      <c r="K12" s="365"/>
      <c r="L12" s="365"/>
      <c r="M12" s="365"/>
      <c r="N12" s="505"/>
      <c r="O12" s="505"/>
      <c r="P12" s="505"/>
      <c r="Q12" s="505"/>
      <c r="R12" s="505"/>
      <c r="S12" s="354"/>
    </row>
    <row r="13" spans="1:27" ht="27" customHeight="1" x14ac:dyDescent="0.25">
      <c r="A13" s="70"/>
      <c r="B13" s="147"/>
      <c r="C13" s="509" t="str">
        <f>IF(J13=0,"Spørgsmål om afgrænsning er ikke besvaret",IF(J13=1,"Projektet er omfattet af standardløsningen","Projektet er IKKE omfattet af standardløsningen"))</f>
        <v>Spørgsmål om afgrænsning er ikke besvaret</v>
      </c>
      <c r="D13" s="365"/>
      <c r="E13" s="365"/>
      <c r="F13" s="365"/>
      <c r="G13" s="365"/>
      <c r="H13" s="365"/>
      <c r="I13" s="365"/>
      <c r="J13" s="488">
        <f>MIN(R8:R11)</f>
        <v>0</v>
      </c>
      <c r="K13" s="365"/>
      <c r="L13" s="365"/>
      <c r="M13" s="365"/>
      <c r="N13" s="505"/>
      <c r="O13" s="505"/>
      <c r="P13" s="505"/>
      <c r="Q13" s="505"/>
      <c r="R13" s="505"/>
      <c r="S13" s="354"/>
    </row>
    <row r="14" spans="1:27" ht="15.75" customHeight="1" x14ac:dyDescent="0.25">
      <c r="A14" s="70"/>
      <c r="B14" s="510"/>
      <c r="C14" s="151"/>
      <c r="D14" s="151"/>
      <c r="E14" s="151"/>
      <c r="F14" s="151"/>
      <c r="G14" s="151"/>
      <c r="H14" s="151"/>
      <c r="I14" s="151"/>
      <c r="J14" s="151"/>
      <c r="K14" s="511"/>
      <c r="L14" s="511"/>
      <c r="M14" s="70"/>
      <c r="N14" s="354"/>
      <c r="O14" s="354"/>
      <c r="P14" s="354"/>
      <c r="Q14" s="354"/>
      <c r="R14" s="354"/>
      <c r="S14" s="354"/>
    </row>
    <row r="15" spans="1:27" s="513" customFormat="1" ht="18" customHeight="1" x14ac:dyDescent="0.25">
      <c r="A15" s="169"/>
      <c r="B15" s="631" t="s">
        <v>21</v>
      </c>
      <c r="C15" s="631"/>
      <c r="D15" s="631"/>
      <c r="E15" s="631"/>
      <c r="F15" s="631"/>
      <c r="G15" s="631"/>
      <c r="H15" s="631"/>
      <c r="I15" s="631"/>
      <c r="J15" s="631"/>
      <c r="K15" s="631"/>
      <c r="L15" s="512"/>
      <c r="M15" s="169"/>
      <c r="N15" s="500" t="s">
        <v>24</v>
      </c>
      <c r="O15" s="354"/>
      <c r="P15" s="354"/>
      <c r="Q15" s="354"/>
      <c r="R15" s="354"/>
      <c r="S15" s="354"/>
      <c r="T15" s="116"/>
      <c r="U15" s="116"/>
      <c r="V15" s="116"/>
      <c r="W15" s="116"/>
      <c r="X15" s="116"/>
      <c r="Y15" s="116"/>
      <c r="Z15" s="116"/>
      <c r="AA15" s="116"/>
    </row>
    <row r="16" spans="1:27" ht="18" x14ac:dyDescent="0.25">
      <c r="A16" s="70"/>
      <c r="B16" s="514"/>
      <c r="C16" s="502"/>
      <c r="D16" s="502"/>
      <c r="E16" s="502"/>
      <c r="F16" s="502"/>
      <c r="G16" s="514"/>
      <c r="H16" s="514"/>
      <c r="I16" s="514"/>
      <c r="J16" s="514"/>
      <c r="K16" s="515"/>
      <c r="L16" s="515"/>
      <c r="M16" s="70"/>
      <c r="N16" s="167" t="s">
        <v>228</v>
      </c>
      <c r="O16" s="147" t="str">
        <f>IF(J27="","",J27)</f>
        <v/>
      </c>
      <c r="P16" s="167"/>
      <c r="Q16" s="505"/>
      <c r="R16" s="505"/>
      <c r="S16" s="354"/>
    </row>
    <row r="17" spans="1:19" ht="18" x14ac:dyDescent="0.25">
      <c r="A17" s="70"/>
      <c r="B17" s="147" t="s">
        <v>229</v>
      </c>
      <c r="C17" s="602" t="s">
        <v>282</v>
      </c>
      <c r="D17" s="602"/>
      <c r="E17" s="602"/>
      <c r="F17" s="602"/>
      <c r="G17" s="602"/>
      <c r="H17" s="602"/>
      <c r="I17" s="606"/>
      <c r="J17" s="516"/>
      <c r="K17" s="515"/>
      <c r="L17" s="515"/>
      <c r="M17" s="70"/>
      <c r="N17" s="167" t="s">
        <v>110</v>
      </c>
      <c r="O17" s="483" t="str">
        <f>IF(J27="","-",IF(J17='Kyllinge - regneark'!$C$13,$I$24/$H$32/1000,IF(J17='Kyllinge - regneark'!$B$13,$G$24/$H$32/1000,"-")))</f>
        <v>-</v>
      </c>
      <c r="P17" s="504" t="s">
        <v>25</v>
      </c>
      <c r="Q17" s="505"/>
      <c r="R17" s="505"/>
      <c r="S17" s="354"/>
    </row>
    <row r="18" spans="1:19" ht="22.5" customHeight="1" x14ac:dyDescent="0.25">
      <c r="A18" s="70"/>
      <c r="B18" s="147"/>
      <c r="C18" s="502"/>
      <c r="D18" s="502"/>
      <c r="E18" s="502"/>
      <c r="F18" s="502"/>
      <c r="G18" s="502"/>
      <c r="H18" s="502"/>
      <c r="I18" s="378"/>
      <c r="J18" s="378"/>
      <c r="K18" s="378"/>
      <c r="L18" s="378"/>
      <c r="M18" s="70"/>
      <c r="N18" s="431"/>
      <c r="O18" s="380"/>
      <c r="P18" s="502"/>
      <c r="Q18" s="505"/>
      <c r="R18" s="505"/>
      <c r="S18" s="354"/>
    </row>
    <row r="19" spans="1:19" ht="18" x14ac:dyDescent="0.25">
      <c r="A19" s="70"/>
      <c r="B19" s="147" t="s">
        <v>283</v>
      </c>
      <c r="C19" s="602" t="s">
        <v>284</v>
      </c>
      <c r="D19" s="602"/>
      <c r="E19" s="602"/>
      <c r="F19" s="602"/>
      <c r="G19" s="602"/>
      <c r="H19" s="602"/>
      <c r="I19" s="602"/>
      <c r="J19" s="378"/>
      <c r="K19" s="515"/>
      <c r="L19" s="515"/>
      <c r="M19" s="70"/>
      <c r="N19" s="432" t="s">
        <v>109</v>
      </c>
      <c r="O19" s="381" t="str">
        <f>IFERROR(IF(AND(J35="Varmepumpe"),"El",IF(AND(J35="Fjernvarme"),"Fjernvarme",VLOOKUP(J35,'Forbrugsberegner 4'!E95:G1110,2,FALSE))),"-")</f>
        <v>-</v>
      </c>
      <c r="P19" s="504"/>
      <c r="Q19" s="505"/>
      <c r="R19" s="505"/>
      <c r="S19" s="354"/>
    </row>
    <row r="20" spans="1:19" ht="18" customHeight="1" x14ac:dyDescent="0.25">
      <c r="A20" s="70"/>
      <c r="B20" s="514"/>
      <c r="C20" s="501"/>
      <c r="D20" s="638" t="str">
        <f>IF(J17="","",IF(J17='Kyllinge - regneark'!B13,"Årlige antal","Antal"))</f>
        <v/>
      </c>
      <c r="E20" s="638"/>
      <c r="F20" s="506" t="str">
        <f>IF(J17="","",IF(J17='Kyllinge - regneark'!B13,"Varmeveksler","Varmeveksler"))</f>
        <v/>
      </c>
      <c r="G20" s="506" t="str">
        <f>IF(J17="","",IF(J17='Kyllinge - regneark'!B13,"Varmebehov[kWh]","Årlige antal"))</f>
        <v/>
      </c>
      <c r="H20" s="506"/>
      <c r="I20" s="506" t="str">
        <f>IF(J17="","",IF(J17='Kyllinge - regneark'!C13,"Varmebehov[kWh]",""))</f>
        <v/>
      </c>
      <c r="J20" s="149"/>
      <c r="K20" s="515"/>
      <c r="L20" s="515"/>
      <c r="M20" s="70"/>
      <c r="N20" s="167" t="s">
        <v>108</v>
      </c>
      <c r="O20" s="483" t="str">
        <f>IFERROR(IF(AND(I40="",J37=""),"-",IF(H32="","-",IF(AND('Grise - regneark'!C32&gt;2),O17*H32/I40,IF(AND(J35="Fjernvarme"),O17*H32*100%,IF(AND(J35="Varmepumpe"),O17*H32/J37,"-"))))),"-")</f>
        <v>-</v>
      </c>
      <c r="P20" s="504" t="s">
        <v>25</v>
      </c>
      <c r="Q20" s="505"/>
      <c r="R20" s="505"/>
      <c r="S20" s="354"/>
    </row>
    <row r="21" spans="1:19" ht="18.75" thickBot="1" x14ac:dyDescent="0.3">
      <c r="A21" s="70"/>
      <c r="B21" s="147"/>
      <c r="C21" s="469" t="s">
        <v>291</v>
      </c>
      <c r="D21" s="634"/>
      <c r="E21" s="634"/>
      <c r="F21" s="533"/>
      <c r="G21" s="635" t="b">
        <f>IF($J$17='Kyllinge - regneark'!$B$13,IF(C21="","",IF(AND(C21='Kyllinge - regneark'!$B$16,F21="Nej"),D21*'Kyllinge - regneark'!$T$20,IF(AND(C21='Kyllinge - regneark'!$B$16,F21="Ja"),D21*'Kyllinge - regneark'!$T$21,IF(AND(C21='Kyllinge - regneark'!$C$16,F21="Nej"),D21*'Kyllinge - regneark'!$T$22,IF(AND(C21='Kyllinge - regneark'!$C$16,F21="Ja"),D21*'Kyllinge - regneark'!$T$23,IF(AND(C21='Kyllinge - regneark'!$D$16,F21="Nej"),D21*'Kyllinge - regneark'!$T$24,IF(AND(C21='Kyllinge - regneark'!$D$16,F21="Ja"),D21*'Kyllinge - regneark'!$T$25,""))))))),IF($J$17='Kyllinge - regneark'!$C$13,IF(C21="","",IF(C21='Kyllinge - regneark'!$B$16,D21*'Kyllinge - regneark'!$I$11,IF(C21='Kyllinge - regneark'!$C$16,D21*'Kyllinge - regneark'!$I$12,"")))))</f>
        <v>0</v>
      </c>
      <c r="H21" s="635"/>
      <c r="I21" s="514" t="b">
        <f>IF($J$17='Kyllinge - regneark'!$C$13,IF(AND(C21='Kyllinge - regneark'!$B$16,F21="Nej"),G21*'Kyllinge - regneark'!$T$20,IF(AND(C21='Kyllinge - regneark'!$B$16,F21="Ja"),G21*'Kyllinge - regneark'!$T$21,IF(AND(C21='Kyllinge - regneark'!$C$16,F21="Nej"),G21*'Kyllinge - regneark'!$T$22,IF(AND(C21='Kyllinge - regneark'!$C$16,F21="Ja"),G21*'Kyllinge - regneark'!$T$23,"")))))</f>
        <v>0</v>
      </c>
      <c r="J21" s="149"/>
      <c r="K21" s="515"/>
      <c r="L21" s="515"/>
      <c r="M21" s="70"/>
      <c r="N21" s="504"/>
      <c r="O21" s="504"/>
      <c r="P21" s="504"/>
      <c r="Q21" s="505"/>
      <c r="R21" s="505"/>
      <c r="S21" s="354"/>
    </row>
    <row r="22" spans="1:19" ht="18.75" thickBot="1" x14ac:dyDescent="0.3">
      <c r="A22" s="70"/>
      <c r="B22" s="147"/>
      <c r="C22" s="468" t="s">
        <v>291</v>
      </c>
      <c r="D22" s="634"/>
      <c r="E22" s="634"/>
      <c r="F22" s="533"/>
      <c r="G22" s="635" t="b">
        <f>IF($J$17='Kyllinge - regneark'!$B$13,IF(C22="","",IF(AND(C22='Kyllinge - regneark'!$B$16,F22="Nej"),D22*'Kyllinge - regneark'!$T$20,IF(AND(C22='Kyllinge - regneark'!$B$16,F22="Ja"),D22*'Kyllinge - regneark'!$T$21,IF(AND(C22='Kyllinge - regneark'!$C$16,F22="Nej"),D22*'Kyllinge - regneark'!$T$22,IF(AND(C22='Kyllinge - regneark'!$C$16,F22="Ja"),D22*'Kyllinge - regneark'!$T$23,IF(AND(C22='Kyllinge - regneark'!$D$16,F22="Nej"),D22*'Kyllinge - regneark'!$T$24,IF(AND(C22='Kyllinge - regneark'!$D$16,F22="Ja"),D22*'Kyllinge - regneark'!$T$25,""))))))),IF($J$17='Kyllinge - regneark'!$C$13,IF(C22="","",IF(C22='Kyllinge - regneark'!$B$16,D22*'Kyllinge - regneark'!$I$11,IF(C22='Kyllinge - regneark'!$C$16,D22*'Kyllinge - regneark'!$I$12,"")))))</f>
        <v>0</v>
      </c>
      <c r="H22" s="635"/>
      <c r="I22" s="514" t="b">
        <f>IF($J$17='Kyllinge - regneark'!$C$13,IF(AND(C22='Kyllinge - regneark'!$B$16,F22="Nej"),G22*'Kyllinge - regneark'!$T$20,IF(AND(C22='Kyllinge - regneark'!$B$16,F22="Ja"),G22*'Kyllinge - regneark'!$T$21,IF(AND(C22='Kyllinge - regneark'!$C$16,F22="Nej"),G22*'Kyllinge - regneark'!$T$22,IF(AND(C22='Kyllinge - regneark'!$C$16,F22="Ja"),G22*'Kyllinge - regneark'!$T$23,"")))))</f>
        <v>0</v>
      </c>
      <c r="J22" s="149"/>
      <c r="K22" s="515"/>
      <c r="L22" s="515"/>
      <c r="M22" s="70"/>
      <c r="N22" s="433" t="s">
        <v>233</v>
      </c>
      <c r="O22" s="434" t="str">
        <f>IFERROR(IF(AND(O17="-",O20="-"),"-",O17-O20),"-")</f>
        <v>-</v>
      </c>
      <c r="P22" s="632" t="s">
        <v>25</v>
      </c>
      <c r="Q22" s="632"/>
      <c r="R22" s="633"/>
      <c r="S22" s="354"/>
    </row>
    <row r="23" spans="1:19" ht="18" x14ac:dyDescent="0.25">
      <c r="A23" s="70"/>
      <c r="B23" s="147"/>
      <c r="C23" s="468" t="s">
        <v>291</v>
      </c>
      <c r="D23" s="634"/>
      <c r="E23" s="634"/>
      <c r="F23" s="533"/>
      <c r="G23" s="635" t="b">
        <f>IF($J$17='Kyllinge - regneark'!$B$13,IF(C23="","",IF(AND(C23='Kyllinge - regneark'!$B$16,F23="Nej"),D23*'Kyllinge - regneark'!$T$20,IF(AND(C23='Kyllinge - regneark'!$B$16,F23="Ja"),D23*'Kyllinge - regneark'!$T$21,IF(AND(C23='Kyllinge - regneark'!$C$16,F23="Nej"),D23*'Kyllinge - regneark'!$T$22,IF(AND(C23='Kyllinge - regneark'!$C$16,F23="Ja"),D23*'Kyllinge - regneark'!$T$23,IF(AND(C23='Kyllinge - regneark'!$D$16,F23="Nej"),D23*'Kyllinge - regneark'!$T$24,IF(AND(C23='Kyllinge - regneark'!$D$16,F23="Ja"),D23*'Kyllinge - regneark'!$T$25,""))))))),IF($J$17='Kyllinge - regneark'!$C$13,IF(C23="","",IF(C23='Kyllinge - regneark'!$B$16,D23*'Kyllinge - regneark'!$I$11,IF(C23='Kyllinge - regneark'!$C$16,D23*'Kyllinge - regneark'!$I$12,"")))))</f>
        <v>0</v>
      </c>
      <c r="H23" s="635"/>
      <c r="I23" s="514" t="b">
        <f>IF($J$17='Kyllinge - regneark'!$C$13,IF(AND(C23='Kyllinge - regneark'!$B$16,F23="Nej"),G23*'Kyllinge - regneark'!$T$20,IF(AND(C23='Kyllinge - regneark'!$B$16,F23="Ja"),G23*'Kyllinge - regneark'!$T$21,IF(AND(C23='Kyllinge - regneark'!$C$16,F23="Nej"),G23*'Kyllinge - regneark'!$T$22,IF(AND(C23='Kyllinge - regneark'!$C$16,F23="Ja"),G23*'Kyllinge - regneark'!$T$23,"")))))</f>
        <v>0</v>
      </c>
      <c r="J23" s="149"/>
      <c r="K23" s="515"/>
      <c r="L23" s="515"/>
      <c r="M23" s="70"/>
      <c r="N23" s="354"/>
      <c r="O23" s="354"/>
      <c r="P23" s="354"/>
      <c r="Q23" s="354"/>
      <c r="R23" s="354"/>
      <c r="S23" s="354"/>
    </row>
    <row r="24" spans="1:19" ht="18" customHeight="1" x14ac:dyDescent="0.25">
      <c r="A24" s="70"/>
      <c r="B24" s="147"/>
      <c r="C24" s="388"/>
      <c r="D24" s="506"/>
      <c r="E24" s="506"/>
      <c r="F24" s="506"/>
      <c r="G24" s="468" t="str">
        <f>IF(J17='Kyllinge - regneark'!B13,SUM(G21:H23),"")</f>
        <v/>
      </c>
      <c r="H24" s="514"/>
      <c r="I24" s="517" t="str">
        <f>IF(J17='Kyllinge - regneark'!C13,SUM(I21:I23),"")</f>
        <v/>
      </c>
      <c r="J24" s="149"/>
      <c r="K24" s="515"/>
      <c r="L24" s="515"/>
      <c r="M24" s="70"/>
      <c r="N24" s="389" t="s">
        <v>285</v>
      </c>
      <c r="O24" s="354"/>
      <c r="P24" s="354"/>
      <c r="Q24" s="354"/>
      <c r="R24" s="354"/>
      <c r="S24" s="354"/>
    </row>
    <row r="25" spans="1:19" ht="18" customHeight="1" x14ac:dyDescent="0.25">
      <c r="A25" s="70"/>
      <c r="B25" s="147"/>
      <c r="C25" s="388"/>
      <c r="D25" s="388"/>
      <c r="E25" s="501"/>
      <c r="F25" s="501"/>
      <c r="G25" s="501"/>
      <c r="H25" s="501"/>
      <c r="I25" s="501"/>
      <c r="J25" s="501"/>
      <c r="K25" s="501"/>
      <c r="L25" s="501"/>
      <c r="M25" s="70"/>
      <c r="O25" s="354"/>
      <c r="P25" s="354"/>
      <c r="Q25" s="354"/>
      <c r="R25" s="354"/>
      <c r="S25" s="354"/>
    </row>
    <row r="26" spans="1:19" ht="24" customHeight="1" x14ac:dyDescent="0.25">
      <c r="A26" s="70"/>
      <c r="B26" s="147"/>
      <c r="C26" s="388"/>
      <c r="D26" s="388"/>
      <c r="E26" s="388"/>
      <c r="F26" s="388"/>
      <c r="G26" s="514"/>
      <c r="H26" s="514"/>
      <c r="I26" s="514"/>
      <c r="J26" s="514"/>
      <c r="K26" s="515"/>
      <c r="L26" s="515"/>
      <c r="M26" s="70"/>
      <c r="N26" s="515"/>
      <c r="O26" s="515"/>
      <c r="P26" s="515"/>
      <c r="Q26" s="515"/>
      <c r="R26" s="515"/>
      <c r="S26" s="354"/>
    </row>
    <row r="27" spans="1:19" ht="18" customHeight="1" x14ac:dyDescent="0.25">
      <c r="A27" s="70"/>
      <c r="B27" s="518" t="s">
        <v>286</v>
      </c>
      <c r="C27" s="636" t="s">
        <v>236</v>
      </c>
      <c r="D27" s="636"/>
      <c r="E27" s="636"/>
      <c r="F27" s="519"/>
      <c r="G27" s="520"/>
      <c r="H27" s="502"/>
      <c r="I27" s="503"/>
      <c r="J27" s="521"/>
      <c r="K27" s="149"/>
      <c r="L27" s="149"/>
      <c r="M27" s="70"/>
      <c r="N27" s="515"/>
      <c r="O27" s="515"/>
      <c r="P27" s="515"/>
      <c r="Q27" s="515"/>
      <c r="R27" s="515"/>
      <c r="S27" s="354"/>
    </row>
    <row r="28" spans="1:19" ht="22.5" customHeight="1" x14ac:dyDescent="0.25">
      <c r="A28" s="70"/>
      <c r="B28" s="518"/>
      <c r="C28" s="518"/>
      <c r="D28" s="518"/>
      <c r="E28" s="518"/>
      <c r="F28" s="519"/>
      <c r="G28" s="520"/>
      <c r="H28" s="502"/>
      <c r="I28" s="502"/>
      <c r="J28" s="502"/>
      <c r="K28" s="502"/>
      <c r="L28" s="149"/>
      <c r="M28" s="70"/>
      <c r="N28" s="520"/>
      <c r="O28" s="520"/>
      <c r="P28" s="520"/>
      <c r="Q28" s="520"/>
      <c r="R28" s="520"/>
      <c r="S28" s="354"/>
    </row>
    <row r="29" spans="1:19" ht="18" x14ac:dyDescent="0.25">
      <c r="A29" s="70"/>
      <c r="B29" s="518"/>
      <c r="C29" s="520"/>
      <c r="D29" s="520"/>
      <c r="E29" s="520"/>
      <c r="F29" s="520"/>
      <c r="G29" s="520"/>
      <c r="H29" s="520"/>
      <c r="I29" s="520"/>
      <c r="J29" s="520"/>
      <c r="K29" s="149"/>
      <c r="L29" s="149"/>
      <c r="M29" s="70"/>
      <c r="N29" s="515"/>
      <c r="O29" s="515"/>
      <c r="P29" s="515"/>
      <c r="Q29" s="515"/>
      <c r="R29" s="515"/>
      <c r="S29" s="354"/>
    </row>
    <row r="30" spans="1:19" ht="18" x14ac:dyDescent="0.25">
      <c r="A30" s="70"/>
      <c r="B30" s="518" t="s">
        <v>287</v>
      </c>
      <c r="C30" s="637" t="s">
        <v>238</v>
      </c>
      <c r="D30" s="637"/>
      <c r="E30" s="637"/>
      <c r="F30" s="637"/>
      <c r="G30" s="637"/>
      <c r="H30" s="637"/>
      <c r="I30" s="637"/>
      <c r="J30" s="637"/>
      <c r="K30" s="502"/>
      <c r="L30" s="502"/>
      <c r="M30" s="70"/>
      <c r="N30" s="520"/>
      <c r="O30" s="520"/>
      <c r="P30" s="520"/>
      <c r="Q30" s="520"/>
      <c r="R30" s="520"/>
      <c r="S30" s="354"/>
    </row>
    <row r="31" spans="1:19" ht="21.75" customHeight="1" x14ac:dyDescent="0.25">
      <c r="A31" s="70"/>
      <c r="B31" s="518"/>
      <c r="C31" s="645" t="s">
        <v>239</v>
      </c>
      <c r="D31" s="645"/>
      <c r="E31" s="645" t="s">
        <v>308</v>
      </c>
      <c r="F31" s="645"/>
      <c r="G31" s="645"/>
      <c r="H31" s="645" t="s">
        <v>241</v>
      </c>
      <c r="I31" s="645"/>
      <c r="J31" s="645"/>
      <c r="K31" s="502"/>
      <c r="L31" s="502"/>
      <c r="M31" s="70"/>
      <c r="N31" s="515"/>
      <c r="O31" s="515"/>
      <c r="P31" s="515"/>
      <c r="Q31" s="515"/>
      <c r="R31" s="515"/>
      <c r="S31" s="354"/>
    </row>
    <row r="32" spans="1:19" ht="18" x14ac:dyDescent="0.25">
      <c r="A32" s="70"/>
      <c r="B32" s="518"/>
      <c r="C32" s="646"/>
      <c r="D32" s="647"/>
      <c r="E32" s="646"/>
      <c r="F32" s="648"/>
      <c r="G32" s="647"/>
      <c r="H32" s="642" t="str">
        <f>IF(OR(J27="",C32="",E32=""),"",'Forbrugsberegner 4'!D14/100)</f>
        <v/>
      </c>
      <c r="I32" s="643"/>
      <c r="J32" s="644"/>
      <c r="K32" s="502"/>
      <c r="L32" s="502"/>
      <c r="M32" s="354"/>
      <c r="N32" s="515"/>
      <c r="O32" s="515"/>
      <c r="P32" s="515"/>
      <c r="Q32" s="515"/>
      <c r="R32" s="515"/>
      <c r="S32" s="354"/>
    </row>
    <row r="33" spans="1:19" ht="18" x14ac:dyDescent="0.25">
      <c r="A33" s="70"/>
      <c r="B33" s="518"/>
      <c r="C33" s="518"/>
      <c r="D33" s="518"/>
      <c r="E33" s="518"/>
      <c r="F33" s="518"/>
      <c r="G33" s="518"/>
      <c r="H33" s="518"/>
      <c r="I33" s="518"/>
      <c r="J33" s="518"/>
      <c r="K33" s="518"/>
      <c r="L33" s="518"/>
      <c r="M33" s="354"/>
      <c r="N33" s="520"/>
      <c r="O33" s="520"/>
      <c r="P33" s="520"/>
      <c r="Q33" s="520"/>
      <c r="R33" s="520"/>
      <c r="S33" s="354"/>
    </row>
    <row r="34" spans="1:19" ht="18" x14ac:dyDescent="0.25">
      <c r="A34" s="354"/>
      <c r="B34" s="518"/>
      <c r="C34" s="520"/>
      <c r="D34" s="520"/>
      <c r="E34" s="520"/>
      <c r="F34" s="520"/>
      <c r="G34" s="520"/>
      <c r="H34" s="520"/>
      <c r="I34" s="520"/>
      <c r="J34" s="520"/>
      <c r="K34" s="502"/>
      <c r="L34" s="502"/>
      <c r="M34" s="354"/>
      <c r="N34" s="515"/>
      <c r="O34" s="515"/>
      <c r="P34" s="515"/>
      <c r="Q34" s="515"/>
      <c r="R34" s="515"/>
      <c r="S34" s="354"/>
    </row>
    <row r="35" spans="1:19" ht="18" x14ac:dyDescent="0.25">
      <c r="A35" s="354"/>
      <c r="B35" s="518" t="s">
        <v>237</v>
      </c>
      <c r="C35" s="637" t="s">
        <v>243</v>
      </c>
      <c r="D35" s="637"/>
      <c r="E35" s="637"/>
      <c r="F35" s="637"/>
      <c r="G35" s="637"/>
      <c r="H35" s="637"/>
      <c r="I35" s="649"/>
      <c r="J35" s="531"/>
      <c r="K35" s="502"/>
      <c r="L35" s="502"/>
      <c r="M35" s="354"/>
      <c r="N35" s="515"/>
      <c r="O35" s="515"/>
      <c r="P35" s="515"/>
      <c r="Q35" s="515"/>
      <c r="R35" s="515"/>
      <c r="S35" s="354"/>
    </row>
    <row r="36" spans="1:19" ht="18" x14ac:dyDescent="0.25">
      <c r="A36" s="354"/>
      <c r="B36" s="518"/>
      <c r="C36" s="519"/>
      <c r="D36" s="519"/>
      <c r="E36" s="519"/>
      <c r="F36" s="519"/>
      <c r="G36" s="519"/>
      <c r="H36" s="519"/>
      <c r="I36" s="522"/>
      <c r="J36" s="522"/>
      <c r="K36" s="522"/>
      <c r="L36" s="502"/>
      <c r="M36" s="354"/>
      <c r="N36" s="515"/>
      <c r="O36" s="515"/>
      <c r="P36" s="515"/>
      <c r="Q36" s="515"/>
      <c r="R36" s="515"/>
      <c r="S36" s="354"/>
    </row>
    <row r="37" spans="1:19" ht="18" customHeight="1" x14ac:dyDescent="0.25">
      <c r="A37" s="354"/>
      <c r="B37" s="518" t="str">
        <f>IF(J35='[1]Grise - regneark'!B28,"5.1",IF(J35='[1]Grise - regneark'!C28,"5.1",IF(J35='[1]Grise - regneark'!D28,"5.1","")))</f>
        <v/>
      </c>
      <c r="C37" s="650" t="str">
        <f>IF(J35="Varmepumpe","Indtast SCOP-værdi på varmepumpe","")</f>
        <v/>
      </c>
      <c r="D37" s="650"/>
      <c r="E37" s="650"/>
      <c r="F37" s="650"/>
      <c r="G37" s="650"/>
      <c r="H37" s="651"/>
      <c r="I37" s="532"/>
      <c r="J37" s="523" t="e">
        <f>IF('Grise - regneark'!C32&gt;2,"",IF(J35="Fjernvarme",1,IF(I37="","",IF(J35='[1]Grise - regneark'!C28,"100%",I37))))</f>
        <v>#N/A</v>
      </c>
      <c r="K37" s="502"/>
      <c r="L37" s="502"/>
      <c r="M37" s="354"/>
      <c r="N37" s="520"/>
      <c r="O37" s="520"/>
      <c r="P37" s="520"/>
      <c r="Q37" s="520"/>
      <c r="R37" s="520"/>
      <c r="S37" s="354"/>
    </row>
    <row r="38" spans="1:19" s="526" customFormat="1" ht="4.5" customHeight="1" x14ac:dyDescent="0.25">
      <c r="A38" s="524"/>
      <c r="B38" s="525"/>
      <c r="C38" s="522"/>
      <c r="D38" s="522"/>
      <c r="E38" s="522"/>
      <c r="F38" s="522"/>
      <c r="G38" s="522"/>
      <c r="H38" s="522"/>
      <c r="I38" s="522"/>
      <c r="J38" s="522"/>
      <c r="K38" s="378"/>
      <c r="L38" s="378"/>
      <c r="M38" s="524"/>
      <c r="N38" s="515"/>
      <c r="O38" s="515"/>
      <c r="P38" s="515"/>
      <c r="Q38" s="515"/>
      <c r="R38" s="515"/>
      <c r="S38" s="354"/>
    </row>
    <row r="39" spans="1:19" ht="17.45" customHeight="1" x14ac:dyDescent="0.25">
      <c r="A39" s="354"/>
      <c r="B39" s="518"/>
      <c r="C39" s="652" t="e">
        <f>IF('Grise - regneark'!C32&gt;2,"Størrelse [kW]","")</f>
        <v>#N/A</v>
      </c>
      <c r="D39" s="652"/>
      <c r="E39" s="652" t="e">
        <f>IF('Grise - regneark'!C32&gt;2,"Normvirkningsgrad[%]]","")</f>
        <v>#N/A</v>
      </c>
      <c r="F39" s="652"/>
      <c r="G39" s="652"/>
      <c r="H39" s="652"/>
      <c r="I39" s="652" t="e">
        <f>IF('Grise - regneark'!C32&gt;2,"Årsvirkningsgrad[%]","")</f>
        <v>#N/A</v>
      </c>
      <c r="J39" s="652"/>
      <c r="K39" s="502"/>
      <c r="L39" s="502"/>
      <c r="M39" s="354"/>
      <c r="N39" s="515"/>
      <c r="O39" s="515"/>
      <c r="P39" s="515"/>
      <c r="Q39" s="515"/>
      <c r="R39" s="515"/>
      <c r="S39" s="354"/>
    </row>
    <row r="40" spans="1:19" ht="18" x14ac:dyDescent="0.25">
      <c r="A40" s="354"/>
      <c r="B40" s="518"/>
      <c r="C40" s="639"/>
      <c r="D40" s="639"/>
      <c r="E40" s="640"/>
      <c r="F40" s="640"/>
      <c r="G40" s="640"/>
      <c r="H40" s="640"/>
      <c r="I40" s="641" t="str">
        <f>IFERROR('Forbrugsberegner 4'!D58,"")</f>
        <v/>
      </c>
      <c r="J40" s="641"/>
      <c r="K40" s="502"/>
      <c r="L40" s="502"/>
      <c r="M40" s="354"/>
      <c r="N40" s="515"/>
      <c r="O40" s="515"/>
      <c r="P40" s="515"/>
      <c r="Q40" s="515"/>
      <c r="R40" s="515"/>
      <c r="S40" s="354"/>
    </row>
    <row r="41" spans="1:19" ht="18" x14ac:dyDescent="0.25">
      <c r="A41" s="354"/>
      <c r="B41" s="525"/>
      <c r="C41" s="527"/>
      <c r="D41" s="527"/>
      <c r="E41" s="528"/>
      <c r="F41" s="528"/>
      <c r="G41" s="528"/>
      <c r="H41" s="528"/>
      <c r="I41" s="529"/>
      <c r="J41" s="529"/>
      <c r="K41" s="378"/>
      <c r="L41" s="378"/>
      <c r="M41" s="354"/>
      <c r="N41" s="515"/>
      <c r="O41" s="515"/>
      <c r="P41" s="515"/>
      <c r="Q41" s="515"/>
      <c r="R41" s="515"/>
      <c r="S41" s="354"/>
    </row>
    <row r="42" spans="1:19" ht="12.75" customHeight="1" x14ac:dyDescent="0.25">
      <c r="A42" s="354"/>
      <c r="B42" s="378"/>
      <c r="C42" s="378"/>
      <c r="D42" s="378"/>
      <c r="E42" s="378"/>
      <c r="F42" s="378"/>
      <c r="G42" s="378"/>
      <c r="H42" s="378"/>
      <c r="I42" s="378"/>
      <c r="J42" s="378"/>
      <c r="K42" s="378"/>
      <c r="L42" s="378"/>
      <c r="M42" s="354"/>
      <c r="N42" s="354"/>
      <c r="O42" s="354"/>
      <c r="P42" s="354"/>
      <c r="Q42" s="354"/>
      <c r="R42" s="354"/>
      <c r="S42" s="354"/>
    </row>
    <row r="43" spans="1:19" ht="12.75" customHeight="1" x14ac:dyDescent="0.25">
      <c r="A43" s="354"/>
      <c r="B43" s="378"/>
      <c r="C43" s="378"/>
      <c r="D43" s="378"/>
      <c r="E43" s="378"/>
      <c r="F43" s="378"/>
      <c r="G43" s="378"/>
      <c r="H43" s="378"/>
      <c r="I43" s="378"/>
      <c r="J43" s="378"/>
      <c r="K43" s="378"/>
      <c r="L43" s="378"/>
      <c r="M43" s="354"/>
      <c r="N43" s="354"/>
      <c r="O43" s="354"/>
      <c r="P43" s="354"/>
      <c r="Q43" s="354"/>
      <c r="R43" s="354"/>
      <c r="S43" s="354"/>
    </row>
    <row r="44" spans="1:19" ht="12.75" customHeight="1" x14ac:dyDescent="0.25">
      <c r="A44" s="354"/>
      <c r="B44" s="378"/>
      <c r="C44" s="378"/>
      <c r="D44" s="378"/>
      <c r="E44" s="378"/>
      <c r="F44" s="378"/>
      <c r="G44" s="378"/>
      <c r="H44" s="378"/>
      <c r="I44" s="378"/>
      <c r="J44" s="378"/>
      <c r="K44" s="378"/>
      <c r="L44" s="378"/>
      <c r="M44" s="354"/>
      <c r="N44" s="354"/>
      <c r="O44" s="354"/>
      <c r="P44" s="354"/>
      <c r="Q44" s="354"/>
      <c r="R44" s="354"/>
      <c r="S44" s="354"/>
    </row>
    <row r="45" spans="1:19" ht="12.75" customHeight="1" x14ac:dyDescent="0.25">
      <c r="A45" s="354"/>
      <c r="B45" s="378"/>
      <c r="C45" s="378"/>
      <c r="D45" s="378"/>
      <c r="E45" s="378"/>
      <c r="F45" s="378"/>
      <c r="G45" s="378"/>
      <c r="H45" s="378"/>
      <c r="I45" s="378"/>
      <c r="J45" s="378"/>
      <c r="K45" s="378"/>
      <c r="L45" s="378"/>
      <c r="M45" s="354"/>
      <c r="N45" s="354"/>
      <c r="O45" s="354"/>
      <c r="P45" s="354"/>
      <c r="Q45" s="354"/>
      <c r="R45" s="354"/>
      <c r="S45" s="354"/>
    </row>
    <row r="46" spans="1:19" ht="12.75" customHeight="1" x14ac:dyDescent="0.25">
      <c r="A46" s="354"/>
      <c r="B46" s="378"/>
      <c r="C46" s="378"/>
      <c r="D46" s="378"/>
      <c r="E46" s="378"/>
      <c r="F46" s="378"/>
      <c r="G46" s="378"/>
      <c r="H46" s="378"/>
      <c r="I46" s="378"/>
      <c r="J46" s="378"/>
      <c r="K46" s="378"/>
      <c r="L46" s="378"/>
      <c r="M46" s="354"/>
      <c r="N46" s="354"/>
      <c r="O46" s="354"/>
      <c r="P46" s="354"/>
      <c r="Q46" s="354"/>
      <c r="R46" s="354"/>
      <c r="S46" s="354"/>
    </row>
    <row r="47" spans="1:19" ht="12.75" customHeight="1" x14ac:dyDescent="0.25">
      <c r="A47" s="354"/>
      <c r="B47" s="378"/>
      <c r="C47" s="378"/>
      <c r="D47" s="378"/>
      <c r="E47" s="378"/>
      <c r="F47" s="378"/>
      <c r="G47" s="378"/>
      <c r="H47" s="378"/>
      <c r="I47" s="378"/>
      <c r="J47" s="378"/>
      <c r="K47" s="378"/>
      <c r="L47" s="378"/>
      <c r="M47" s="354"/>
      <c r="N47" s="354"/>
      <c r="O47" s="354"/>
      <c r="P47" s="354"/>
      <c r="Q47" s="354"/>
      <c r="R47" s="354"/>
      <c r="S47" s="354"/>
    </row>
    <row r="48" spans="1:19" ht="12.75" customHeight="1" x14ac:dyDescent="0.25">
      <c r="A48" s="354"/>
      <c r="B48" s="378"/>
      <c r="C48" s="378"/>
      <c r="D48" s="378"/>
      <c r="E48" s="378"/>
      <c r="F48" s="378"/>
      <c r="G48" s="378"/>
      <c r="H48" s="378"/>
      <c r="I48" s="378"/>
      <c r="J48" s="378"/>
      <c r="K48" s="378"/>
      <c r="L48" s="378"/>
      <c r="M48" s="354"/>
      <c r="N48" s="354"/>
      <c r="O48" s="354"/>
      <c r="P48" s="354"/>
      <c r="Q48" s="354"/>
      <c r="R48" s="354"/>
      <c r="S48" s="354"/>
    </row>
    <row r="49" spans="1:19" ht="12.75" customHeight="1" x14ac:dyDescent="0.25">
      <c r="A49" s="354"/>
      <c r="B49" s="378"/>
      <c r="C49" s="378"/>
      <c r="D49" s="378"/>
      <c r="E49" s="378"/>
      <c r="F49" s="378"/>
      <c r="G49" s="378"/>
      <c r="H49" s="378"/>
      <c r="I49" s="378"/>
      <c r="J49" s="378"/>
      <c r="K49" s="378"/>
      <c r="L49" s="378"/>
      <c r="M49" s="354"/>
      <c r="N49" s="354"/>
      <c r="O49" s="354"/>
      <c r="P49" s="354"/>
      <c r="Q49" s="354"/>
      <c r="R49" s="354"/>
      <c r="S49" s="354"/>
    </row>
    <row r="50" spans="1:19" ht="12.75" customHeight="1" x14ac:dyDescent="0.25">
      <c r="A50" s="354"/>
      <c r="B50" s="378"/>
      <c r="C50" s="378"/>
      <c r="D50" s="378"/>
      <c r="E50" s="378"/>
      <c r="F50" s="378"/>
      <c r="G50" s="378"/>
      <c r="H50" s="378"/>
      <c r="I50" s="378"/>
      <c r="J50" s="378"/>
      <c r="K50" s="378"/>
      <c r="L50" s="378"/>
      <c r="M50" s="354"/>
      <c r="N50" s="354"/>
      <c r="O50" s="354"/>
      <c r="P50" s="354"/>
      <c r="Q50" s="354"/>
      <c r="R50" s="354"/>
      <c r="S50" s="354"/>
    </row>
    <row r="51" spans="1:19" ht="12.75" customHeight="1" x14ac:dyDescent="0.25">
      <c r="A51" s="497"/>
      <c r="B51" s="497"/>
      <c r="C51" s="497"/>
      <c r="D51" s="497"/>
      <c r="E51" s="497"/>
      <c r="F51" s="497"/>
      <c r="G51" s="497"/>
      <c r="H51" s="497"/>
      <c r="I51" s="497"/>
      <c r="J51" s="497"/>
      <c r="K51" s="497"/>
      <c r="L51" s="497"/>
      <c r="M51" s="497"/>
      <c r="N51" s="145"/>
      <c r="O51" s="145"/>
      <c r="P51" s="145"/>
      <c r="Q51" s="145"/>
      <c r="R51" s="145"/>
      <c r="S51" s="497"/>
    </row>
    <row r="52" spans="1:19" ht="12.75" customHeight="1" x14ac:dyDescent="0.15">
      <c r="A52" s="145"/>
      <c r="B52" s="145"/>
      <c r="C52" s="145"/>
      <c r="D52" s="145"/>
      <c r="E52" s="145"/>
      <c r="F52" s="145"/>
      <c r="G52" s="145"/>
      <c r="H52" s="145"/>
      <c r="I52" s="145"/>
      <c r="J52" s="145"/>
      <c r="K52" s="145"/>
      <c r="L52" s="145"/>
      <c r="M52" s="145"/>
      <c r="N52" s="145"/>
      <c r="O52" s="145"/>
      <c r="P52" s="145"/>
      <c r="Q52" s="145"/>
      <c r="R52" s="145"/>
      <c r="S52" s="145"/>
    </row>
    <row r="53" spans="1:19" ht="12.75" customHeight="1" x14ac:dyDescent="0.15">
      <c r="A53" s="145"/>
      <c r="B53" s="145"/>
      <c r="C53" s="145"/>
      <c r="D53" s="145"/>
      <c r="E53" s="145"/>
      <c r="F53" s="145"/>
      <c r="G53" s="145"/>
      <c r="H53" s="145"/>
      <c r="I53" s="145"/>
      <c r="J53" s="145"/>
      <c r="K53" s="145"/>
      <c r="L53" s="145"/>
      <c r="M53" s="145"/>
      <c r="N53" s="145"/>
      <c r="O53" s="145"/>
      <c r="P53" s="145"/>
      <c r="Q53" s="145"/>
      <c r="R53" s="145"/>
      <c r="S53" s="145"/>
    </row>
    <row r="54" spans="1:19" ht="12.75" customHeight="1" x14ac:dyDescent="0.15">
      <c r="A54" s="145"/>
      <c r="B54" s="145"/>
      <c r="C54" s="145"/>
      <c r="D54" s="145"/>
      <c r="E54" s="145"/>
      <c r="F54" s="145"/>
      <c r="G54" s="145"/>
      <c r="H54" s="145"/>
      <c r="I54" s="145"/>
      <c r="J54" s="145"/>
      <c r="K54" s="145"/>
      <c r="L54" s="145"/>
      <c r="M54" s="145"/>
      <c r="N54" s="145"/>
      <c r="O54" s="145"/>
      <c r="P54" s="145"/>
      <c r="Q54" s="145"/>
      <c r="R54" s="145"/>
      <c r="S54" s="145"/>
    </row>
    <row r="55" spans="1:19" ht="12.75" customHeight="1" x14ac:dyDescent="0.15">
      <c r="A55" s="145"/>
      <c r="B55" s="145"/>
      <c r="C55" s="145"/>
      <c r="D55" s="145"/>
      <c r="E55" s="145"/>
      <c r="F55" s="145"/>
      <c r="G55" s="145"/>
      <c r="H55" s="145"/>
      <c r="I55" s="145"/>
      <c r="J55" s="145"/>
      <c r="K55" s="145"/>
      <c r="L55" s="145"/>
      <c r="M55" s="145"/>
      <c r="N55" s="145"/>
      <c r="O55" s="145"/>
      <c r="P55" s="145"/>
      <c r="Q55" s="145"/>
      <c r="R55" s="145"/>
      <c r="S55" s="145"/>
    </row>
    <row r="56" spans="1:19" ht="12.75" customHeight="1" x14ac:dyDescent="0.15">
      <c r="A56" s="145"/>
      <c r="B56" s="145"/>
      <c r="C56" s="145"/>
      <c r="D56" s="145"/>
      <c r="E56" s="145"/>
      <c r="F56" s="145"/>
      <c r="G56" s="145"/>
      <c r="H56" s="145"/>
      <c r="I56" s="145"/>
      <c r="J56" s="145"/>
      <c r="K56" s="145"/>
      <c r="L56" s="145"/>
      <c r="M56" s="145"/>
      <c r="N56" s="145"/>
      <c r="O56" s="145"/>
      <c r="P56" s="145"/>
      <c r="Q56" s="145"/>
      <c r="R56" s="145"/>
      <c r="S56" s="145"/>
    </row>
    <row r="57" spans="1:19" ht="12.75" customHeight="1" x14ac:dyDescent="0.15">
      <c r="A57" s="145"/>
      <c r="B57" s="145"/>
      <c r="C57" s="145"/>
      <c r="D57" s="145"/>
      <c r="E57" s="145"/>
      <c r="F57" s="145"/>
      <c r="G57" s="145"/>
      <c r="H57" s="145"/>
      <c r="I57" s="145"/>
      <c r="J57" s="145"/>
      <c r="K57" s="145"/>
      <c r="L57" s="145"/>
      <c r="M57" s="145"/>
      <c r="N57" s="145"/>
      <c r="O57" s="145"/>
      <c r="P57" s="145"/>
      <c r="Q57" s="145"/>
      <c r="R57" s="145"/>
      <c r="S57" s="145"/>
    </row>
    <row r="58" spans="1:19" ht="12.75" customHeight="1" x14ac:dyDescent="0.15">
      <c r="A58" s="145"/>
      <c r="B58" s="145"/>
      <c r="C58" s="145"/>
      <c r="D58" s="145"/>
      <c r="E58" s="145"/>
      <c r="F58" s="145"/>
      <c r="G58" s="145"/>
      <c r="H58" s="145"/>
      <c r="I58" s="145"/>
      <c r="J58" s="145"/>
      <c r="K58" s="145"/>
      <c r="L58" s="145"/>
      <c r="M58" s="145"/>
      <c r="N58" s="145"/>
      <c r="O58" s="145"/>
      <c r="P58" s="145"/>
      <c r="Q58" s="145"/>
      <c r="R58" s="145"/>
      <c r="S58" s="145"/>
    </row>
    <row r="59" spans="1:19" ht="12.75" customHeight="1" x14ac:dyDescent="0.15">
      <c r="A59" s="145"/>
      <c r="B59" s="145"/>
      <c r="C59" s="145"/>
      <c r="D59" s="145"/>
      <c r="E59" s="145"/>
      <c r="F59" s="145"/>
      <c r="G59" s="145"/>
      <c r="H59" s="145"/>
      <c r="I59" s="145"/>
      <c r="J59" s="145"/>
      <c r="K59" s="145"/>
      <c r="L59" s="145"/>
      <c r="M59" s="145"/>
      <c r="N59" s="145"/>
      <c r="O59" s="145"/>
      <c r="P59" s="145"/>
      <c r="Q59" s="145"/>
      <c r="R59" s="145"/>
      <c r="S59" s="145"/>
    </row>
    <row r="60" spans="1:19" ht="12.75" customHeight="1" x14ac:dyDescent="0.15">
      <c r="A60" s="145"/>
      <c r="B60" s="145"/>
      <c r="C60" s="145"/>
      <c r="D60" s="145"/>
      <c r="E60" s="145"/>
      <c r="F60" s="145"/>
      <c r="G60" s="145"/>
      <c r="H60" s="145"/>
      <c r="I60" s="145"/>
      <c r="J60" s="145"/>
      <c r="K60" s="145"/>
      <c r="L60" s="145"/>
      <c r="M60" s="145"/>
      <c r="N60" s="145"/>
      <c r="O60" s="145"/>
      <c r="P60" s="145"/>
      <c r="Q60" s="145"/>
      <c r="R60" s="145"/>
      <c r="S60" s="145"/>
    </row>
    <row r="61" spans="1:19" ht="12.75" customHeight="1" x14ac:dyDescent="0.15">
      <c r="A61" s="145"/>
      <c r="B61" s="145"/>
      <c r="C61" s="145"/>
      <c r="D61" s="145"/>
      <c r="E61" s="145"/>
      <c r="F61" s="145"/>
      <c r="G61" s="145"/>
      <c r="H61" s="145"/>
      <c r="I61" s="145"/>
      <c r="J61" s="145"/>
      <c r="K61" s="145"/>
      <c r="L61" s="145"/>
      <c r="M61" s="145"/>
      <c r="N61" s="145"/>
      <c r="O61" s="145"/>
      <c r="P61" s="145"/>
      <c r="Q61" s="145"/>
      <c r="R61" s="145"/>
      <c r="S61" s="145"/>
    </row>
    <row r="62" spans="1:19" ht="12.75" customHeight="1" x14ac:dyDescent="0.15">
      <c r="A62" s="145"/>
      <c r="B62" s="145"/>
      <c r="C62" s="145"/>
      <c r="D62" s="145"/>
      <c r="E62" s="145"/>
      <c r="F62" s="145"/>
      <c r="G62" s="145"/>
      <c r="H62" s="145"/>
      <c r="I62" s="145"/>
      <c r="J62" s="145"/>
      <c r="K62" s="145"/>
      <c r="L62" s="145"/>
      <c r="M62" s="145"/>
      <c r="N62" s="145"/>
      <c r="O62" s="145"/>
      <c r="P62" s="145"/>
      <c r="Q62" s="145"/>
      <c r="R62" s="145"/>
      <c r="S62" s="145"/>
    </row>
  </sheetData>
  <sheetProtection algorithmName="SHA-512" hashValue="c1pCncpJYY5DZ6XZdcZx3NNvXi9ku2DrmkplMrZTyNZcoSWqAHmcfo5stLl2JXnQ3J/X0boa4dX1fji56qtkgQ==" saltValue="pALGVAKgY1RnDc0VPOzWOQ==" spinCount="100000" sheet="1" selectLockedCells="1"/>
  <protectedRanges>
    <protectedRange sqref="I37" name="Område7"/>
    <protectedRange sqref="C40:H40" name="Område1"/>
    <protectedRange sqref="C32:G32 I32" name="Område2"/>
    <protectedRange sqref="J35" name="Område3"/>
    <protectedRange sqref="J27" name="Område4"/>
    <protectedRange sqref="C21:F23" name="Område5"/>
    <protectedRange sqref="J17" name="Område6"/>
  </protectedRanges>
  <mergeCells count="30">
    <mergeCell ref="C40:D40"/>
    <mergeCell ref="E40:H40"/>
    <mergeCell ref="I40:J40"/>
    <mergeCell ref="H32:J32"/>
    <mergeCell ref="H31:J31"/>
    <mergeCell ref="C32:D32"/>
    <mergeCell ref="E32:G32"/>
    <mergeCell ref="C35:I35"/>
    <mergeCell ref="C37:H37"/>
    <mergeCell ref="C39:D39"/>
    <mergeCell ref="E39:H39"/>
    <mergeCell ref="I39:J39"/>
    <mergeCell ref="C31:D31"/>
    <mergeCell ref="E31:G31"/>
    <mergeCell ref="C27:E27"/>
    <mergeCell ref="C30:J30"/>
    <mergeCell ref="C19:I19"/>
    <mergeCell ref="C17:I17"/>
    <mergeCell ref="D20:E20"/>
    <mergeCell ref="D23:E23"/>
    <mergeCell ref="G23:H23"/>
    <mergeCell ref="G22:H22"/>
    <mergeCell ref="B6:N7"/>
    <mergeCell ref="C8:N8"/>
    <mergeCell ref="B15:K15"/>
    <mergeCell ref="B2:O4"/>
    <mergeCell ref="P22:R22"/>
    <mergeCell ref="D21:E21"/>
    <mergeCell ref="D22:E22"/>
    <mergeCell ref="G21:H21"/>
  </mergeCells>
  <conditionalFormatting sqref="C20:D23 F21:G23">
    <cfRule type="expression" dxfId="57" priority="40">
      <formula>$J$17=""</formula>
    </cfRule>
  </conditionalFormatting>
  <conditionalFormatting sqref="F20:H20">
    <cfRule type="expression" dxfId="56" priority="39">
      <formula>$J$17=""</formula>
    </cfRule>
  </conditionalFormatting>
  <conditionalFormatting sqref="G21:G23">
    <cfRule type="expression" dxfId="55" priority="35">
      <formula>$J$17=""</formula>
    </cfRule>
  </conditionalFormatting>
  <conditionalFormatting sqref="F21:F23">
    <cfRule type="expression" dxfId="54" priority="38">
      <formula>$J$17=""</formula>
    </cfRule>
  </conditionalFormatting>
  <conditionalFormatting sqref="G21:G23">
    <cfRule type="expression" dxfId="53" priority="37">
      <formula>$G$22:$H$23=0</formula>
    </cfRule>
  </conditionalFormatting>
  <conditionalFormatting sqref="G23">
    <cfRule type="expression" dxfId="52" priority="36">
      <formula>$G$23=0</formula>
    </cfRule>
  </conditionalFormatting>
  <conditionalFormatting sqref="C25:L25 C21:C24 D21:D23 D24:H24 F21:G23">
    <cfRule type="expression" dxfId="51" priority="34">
      <formula>$J$17=""</formula>
    </cfRule>
  </conditionalFormatting>
  <conditionalFormatting sqref="I21:I23">
    <cfRule type="expression" dxfId="50" priority="21">
      <formula>$J$17=""</formula>
    </cfRule>
  </conditionalFormatting>
  <conditionalFormatting sqref="E39:F39 I39 C39:C40 E40 C41:J41">
    <cfRule type="expression" dxfId="49" priority="52">
      <formula>$J$35=""</formula>
    </cfRule>
  </conditionalFormatting>
  <conditionalFormatting sqref="J37">
    <cfRule type="expression" dxfId="48" priority="9">
      <formula>$J$35=""</formula>
    </cfRule>
    <cfRule type="expression" dxfId="47" priority="10">
      <formula>$J$35="Brændselskedel"</formula>
    </cfRule>
    <cfRule type="expression" dxfId="46" priority="16">
      <formula>$J$35=""</formula>
    </cfRule>
  </conditionalFormatting>
  <conditionalFormatting sqref="C39:J39">
    <cfRule type="expression" dxfId="45" priority="17">
      <formula>$J$35=""</formula>
    </cfRule>
  </conditionalFormatting>
  <conditionalFormatting sqref="I37">
    <cfRule type="expression" dxfId="44" priority="7">
      <formula>$J$35="Varmepumpe"</formula>
    </cfRule>
    <cfRule type="expression" dxfId="43" priority="12">
      <formula>$J$35=""</formula>
    </cfRule>
  </conditionalFormatting>
  <conditionalFormatting sqref="D21:D22 F21:F22">
    <cfRule type="expression" dxfId="42" priority="11">
      <formula>$J$17=""</formula>
    </cfRule>
  </conditionalFormatting>
  <conditionalFormatting sqref="D21:F23">
    <cfRule type="expression" dxfId="41" priority="3">
      <formula>$J$17&lt;&gt;""</formula>
    </cfRule>
  </conditionalFormatting>
  <conditionalFormatting sqref="G21:H23">
    <cfRule type="expression" dxfId="40" priority="2">
      <formula>$J$17="Årsrapport"</formula>
    </cfRule>
  </conditionalFormatting>
  <conditionalFormatting sqref="G21:I23">
    <cfRule type="expression" dxfId="39" priority="1">
      <formula>$J$17="CHR"</formula>
    </cfRule>
  </conditionalFormatting>
  <dataValidations count="5">
    <dataValidation type="decimal" allowBlank="1" showInputMessage="1" showErrorMessage="1" sqref="E40:H40">
      <formula1>0.5</formula1>
      <formula2>1.05</formula2>
    </dataValidation>
    <dataValidation allowBlank="1" showErrorMessage="1" prompt="Her indtastes optælling af specifikke samlede antal lyskilder, og ikke antal lamper/lysarmaturer. Hvis der f.eks, er to, tre eller fire lyskilder i en lampe/lysaramtur, så skal der optælles hhv. to, tre eller fire lyskilder." sqref="G16:J16 G26:J26 G24 I20:I24"/>
    <dataValidation allowBlank="1" showErrorMessage="1" sqref="C17:C19"/>
    <dataValidation type="whole" allowBlank="1" showInputMessage="1" showErrorMessage="1" prompt="Indtast årgang for eksisterende kedel/ kalorifer. Årstallet kan typisk findes på kedlens mærkeplade. Hvis ansøger har to kedler eller kalorifer med samme brændsel kan en gennemsnit af årstallet benyttes" sqref="E32:G32">
      <formula1>1950</formula1>
      <formula2>2020</formula2>
    </dataValidation>
    <dataValidation type="whole" allowBlank="1" showInputMessage="1" showErrorMessage="1" sqref="C32:D32">
      <formula1>0</formula1>
      <formula2>1000</formula2>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34820" r:id="rId4">
          <objectPr defaultSize="0" autoPict="0" r:id="rId5">
            <anchor moveWithCells="1">
              <from>
                <xdr:col>15</xdr:col>
                <xdr:colOff>819150</xdr:colOff>
                <xdr:row>51</xdr:row>
                <xdr:rowOff>104775</xdr:rowOff>
              </from>
              <to>
                <xdr:col>17</xdr:col>
                <xdr:colOff>57150</xdr:colOff>
                <xdr:row>57</xdr:row>
                <xdr:rowOff>19050</xdr:rowOff>
              </to>
            </anchor>
          </objectPr>
        </oleObject>
      </mc:Choice>
      <mc:Fallback>
        <oleObject progId="AcroExch.Document.DC" dvAspect="DVASPECT_ICON" shapeId="34820"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 id="{90F8CF44-F3F4-498E-8C1E-4A7DA6A518FD}">
            <xm:f>'Grise - regneark'!$C$32&lt;3</xm:f>
            <x14:dxf>
              <fill>
                <patternFill>
                  <bgColor theme="0" tint="-0.14996795556505021"/>
                </patternFill>
              </fill>
              <border>
                <left style="thin">
                  <color auto="1"/>
                </left>
                <right style="thin">
                  <color auto="1"/>
                </right>
                <top style="thin">
                  <color auto="1"/>
                </top>
                <bottom style="thin">
                  <color auto="1"/>
                </bottom>
                <vertical/>
                <horizontal/>
              </border>
            </x14:dxf>
          </x14:cfRule>
          <xm:sqref>J37</xm:sqref>
        </x14:conditionalFormatting>
        <x14:conditionalFormatting xmlns:xm="http://schemas.microsoft.com/office/excel/2006/main">
          <x14:cfRule type="expression" priority="30" id="{C4A0D3B8-C73C-476B-AA70-4DCB493BC20C}">
            <xm:f>$J$17='Kyllinge - regneark'!$B$13</xm:f>
            <x14:dxf>
              <font>
                <color auto="1"/>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1" id="{DB8B1243-670B-4772-A8C4-3A4338345BA4}">
            <xm:f>$J$17='Kyllinge - regneark'!$B$13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2" id="{5DD09A67-7C5B-4852-B810-BCCECBC74664}">
            <xm:f>$J$17='Kyllinge - regneark'!$B$13</xm:f>
            <x14:dxf>
              <font>
                <color theme="9" tint="0.59996337778862885"/>
              </font>
              <fill>
                <patternFill>
                  <bgColor theme="9" tint="0.59996337778862885"/>
                </patternFill>
              </fill>
              <border>
                <left style="thin">
                  <color auto="1"/>
                </left>
                <right/>
                <top/>
                <bottom/>
                <vertical/>
                <horizontal/>
              </border>
            </x14:dxf>
          </x14:cfRule>
          <x14:cfRule type="expression" priority="33" id="{72E90A92-0B07-4692-B811-8ECBBDFD793D}">
            <xm:f>$J$17='Kyllinge - regneark'!$B$13</xm:f>
            <x14:dxf/>
          </x14:cfRule>
          <xm:sqref>G21:G23</xm:sqref>
        </x14:conditionalFormatting>
        <x14:conditionalFormatting xmlns:xm="http://schemas.microsoft.com/office/excel/2006/main">
          <x14:cfRule type="iconSet" priority="42" id="{2F716DE6-3694-46E8-AC4B-5972D305DA23}">
            <x14:iconSet iconSet="3Symbols2" custom="1">
              <x14:cfvo type="percent">
                <xm:f>0</xm:f>
              </x14:cfvo>
              <x14:cfvo type="num">
                <xm:f>-0.5</xm:f>
              </x14:cfvo>
              <x14:cfvo type="num">
                <xm:f>0.5</xm:f>
              </x14:cfvo>
              <x14:cfIcon iconSet="3Symbols2" iconId="0"/>
              <x14:cfIcon iconSet="3Symbols2" iconId="1"/>
              <x14:cfIcon iconSet="3Symbols2" iconId="2"/>
            </x14:iconSet>
          </x14:cfRule>
          <xm:sqref>R8:R11</xm:sqref>
        </x14:conditionalFormatting>
        <x14:conditionalFormatting xmlns:xm="http://schemas.microsoft.com/office/excel/2006/main">
          <x14:cfRule type="iconSet" priority="41" id="{45E63E47-CBD3-491C-A8A1-522981C8C6EA}">
            <x14:iconSet iconSet="3Symbols2" custom="1">
              <x14:cfvo type="percent">
                <xm:f>0</xm:f>
              </x14:cfvo>
              <x14:cfvo type="num">
                <xm:f>-0.5</xm:f>
              </x14:cfvo>
              <x14:cfvo type="num">
                <xm:f>0.5</xm:f>
              </x14:cfvo>
              <x14:cfIcon iconSet="3Symbols2" iconId="0"/>
              <x14:cfIcon iconSet="3Symbols2" iconId="1"/>
              <x14:cfIcon iconSet="3Symbols2" iconId="2"/>
            </x14:iconSet>
          </x14:cfRule>
          <xm:sqref>J13</xm:sqref>
        </x14:conditionalFormatting>
        <x14:conditionalFormatting xmlns:xm="http://schemas.microsoft.com/office/excel/2006/main">
          <x14:cfRule type="expression" priority="43" id="{E6FDD37D-3356-478A-8987-DBB4F512DC30}">
            <xm:f>$J$17='Kyllinge - regneark'!$B$13</xm:f>
            <x14:dxf>
              <font>
                <color theme="9" tint="0.59996337778862885"/>
              </font>
              <fill>
                <patternFill>
                  <bgColor theme="9" tint="0.59996337778862885"/>
                </patternFill>
              </fill>
              <border>
                <left style="thin">
                  <color auto="1"/>
                </left>
                <right/>
                <top/>
                <bottom/>
                <vertical/>
                <horizontal/>
              </border>
            </x14:dxf>
          </x14:cfRule>
          <x14:cfRule type="expression" priority="44" id="{EA6E10BD-79DC-423F-80C3-66AADA1404AA}">
            <xm:f>$J$17='Kyllinge - regneark'!$B$13</xm:f>
            <x14:dxf>
              <fill>
                <patternFill>
                  <bgColor theme="9" tint="0.59996337778862885"/>
                </patternFill>
              </fill>
              <border>
                <left style="thin">
                  <color auto="1"/>
                </left>
                <right/>
                <top/>
                <bottom/>
                <vertical/>
                <horizontal/>
              </border>
            </x14:dxf>
          </x14:cfRule>
          <x14:cfRule type="expression" priority="45" id="{1587A693-F2D9-49B5-8249-1929192E48C8}">
            <xm:f>$J$17='Kyllinge - regneark'!$B$13</xm:f>
            <x14:dxf>
              <fill>
                <patternFill>
                  <bgColor theme="9" tint="0.59996337778862885"/>
                </patternFill>
              </fill>
              <border>
                <left style="thin">
                  <color auto="1"/>
                </left>
                <right/>
                <top/>
                <bottom/>
                <vertical/>
                <horizontal/>
              </border>
            </x14:dxf>
          </x14:cfRule>
          <x14:cfRule type="expression" priority="46" id="{7CE77CEC-2F99-4A22-9ED5-FE0A72C57717}">
            <xm:f>$J$17='Kyllinge - regneark'!$B$13</xm:f>
            <x14:dxf/>
          </x14:cfRule>
          <x14:cfRule type="expression" priority="47" id="{44592E4A-FBFB-4B58-9E8F-C0C42E4E2164}">
            <xm:f>$J$17='Kyllinge - regneark'!$B$13</xm:f>
            <x14:dxf>
              <fill>
                <patternFill>
                  <bgColor theme="9" tint="0.59996337778862885"/>
                </patternFill>
              </fill>
              <border>
                <left/>
                <right style="thin">
                  <color auto="1"/>
                </right>
                <top style="thin">
                  <color auto="1"/>
                </top>
                <bottom style="thin">
                  <color auto="1"/>
                </bottom>
                <vertical/>
                <horizontal/>
              </border>
            </x14:dxf>
          </x14:cfRule>
          <x14:cfRule type="expression" priority="48" id="{97CB42CF-8E89-4083-8537-6F178CDAED4E}">
            <xm:f>$J$17='Kyllinge - regneark'!$B$13</xm:f>
            <x14:dxf>
              <fill>
                <patternFill>
                  <bgColor theme="9" tint="0.59996337778862885"/>
                </patternFill>
              </fill>
              <border>
                <left/>
                <right/>
                <top/>
                <bottom/>
                <vertical/>
                <horizontal/>
              </border>
            </x14:dxf>
          </x14:cfRule>
          <x14:cfRule type="expression" priority="49" id="{FAD1C65C-C29D-4588-B1A1-DC788A8D3BAD}">
            <xm:f>$G$21='Kyllinge - regneark'!$B$13</xm:f>
            <x14:dxf>
              <fill>
                <patternFill>
                  <bgColor theme="9" tint="0.59996337778862885"/>
                </patternFill>
              </fill>
              <border>
                <left/>
                <right/>
                <top/>
                <bottom/>
                <vertical/>
                <horizontal/>
              </border>
            </x14:dxf>
          </x14:cfRule>
          <xm:sqref>G21:G23</xm:sqref>
        </x14:conditionalFormatting>
        <x14:conditionalFormatting xmlns:xm="http://schemas.microsoft.com/office/excel/2006/main">
          <x14:cfRule type="expression" priority="50" id="{32E57E0F-B6D1-4E9C-B0AE-312D1A431A59}">
            <xm:f>$J$17='\Users\B130824\Downloads\[bilag_5_-_standardloesning_for_udskiftning_af_braendselskedler_i_stalde_120822 (3).xlsx]Grise - regneark'!#REF!</xm:f>
            <x14:dxf/>
          </x14:cfRule>
          <xm:sqref>F21:F23 C21:D23</xm:sqref>
        </x14:conditionalFormatting>
        <x14:conditionalFormatting xmlns:xm="http://schemas.microsoft.com/office/excel/2006/main">
          <x14:cfRule type="expression" priority="51" id="{02C85228-7F98-491E-BD70-13B7F031B5E3}">
            <xm:f>$J$17='Kyllinge - regneark'!$B$13</xm:f>
            <x14:dxf>
              <font>
                <color theme="9" tint="0.59996337778862885"/>
              </font>
              <fill>
                <patternFill>
                  <bgColor theme="9" tint="0.59996337778862885"/>
                </patternFill>
              </fill>
              <border>
                <left style="thin">
                  <color auto="1"/>
                </left>
                <right/>
                <top/>
                <bottom/>
                <vertical/>
                <horizontal/>
              </border>
            </x14:dxf>
          </x14:cfRule>
          <xm:sqref>G21:G23</xm:sqref>
        </x14:conditionalFormatting>
        <x14:conditionalFormatting xmlns:xm="http://schemas.microsoft.com/office/excel/2006/main">
          <x14:cfRule type="expression" priority="28" id="{582C0B05-A2AE-4CB4-A986-B2B89372DC15}">
            <xm:f>$J$17='\Users\B130824\Downloads\[bilag_5_-_standardloesning_for_udskiftning_af_braendselskedler_i_stalde_120822 (3).xlsx]Grise - regneark'!#REF!</xm:f>
            <x14:dxf>
              <font>
                <color theme="9" tint="0.59996337778862885"/>
              </font>
            </x14:dxf>
          </x14:cfRule>
          <x14:cfRule type="expression" priority="29" id="{B88A7E1B-A30B-4B00-9142-F249964C9095}">
            <xm:f>$J$17='\Users\B130824\Downloads\[bilag_5_-_standardloesning_for_udskiftning_af_braendselskedler_i_stalde_120822 (3).xlsx]Grise - regneark'!#REF!</xm:f>
            <x14:dxf/>
          </x14:cfRule>
          <xm:sqref>I20</xm:sqref>
        </x14:conditionalFormatting>
        <x14:conditionalFormatting xmlns:xm="http://schemas.microsoft.com/office/excel/2006/main">
          <x14:cfRule type="expression" priority="25" id="{672665C4-8A43-4708-BAA5-FE0765FDC7EF}">
            <xm:f>$J$17='Kyllinge - regneark'!$B$13</xm:f>
            <x14:dxf>
              <font>
                <color theme="9" tint="0.59996337778862885"/>
              </font>
              <fill>
                <patternFill>
                  <bgColor theme="9" tint="0.59996337778862885"/>
                </patternFill>
              </fill>
              <border>
                <left style="thin">
                  <color auto="1"/>
                </left>
                <right/>
                <top/>
                <bottom/>
                <vertical/>
                <horizontal/>
              </border>
            </x14:dxf>
          </x14:cfRule>
          <x14:cfRule type="expression" priority="26" id="{EBC7CE15-184D-49F3-B4C5-AA0E0847E5EC}">
            <xm:f>$J$17='Kyllinge - regneark'!$C$13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7" id="{5695DC09-FF8C-4AFA-8417-40C6C2B56DEA}">
            <xm:f>$J$17='Kyllinge - regneark'!$C$13</xm:f>
            <x14:dxf/>
          </x14:cfRule>
          <xm:sqref>I21:I23</xm:sqref>
        </x14:conditionalFormatting>
        <x14:conditionalFormatting xmlns:xm="http://schemas.microsoft.com/office/excel/2006/main">
          <x14:cfRule type="expression" priority="24" id="{A9634586-E1DB-477C-8B05-12E41FFF0DD5}">
            <xm:f>$J$17='\Users\B130824\Downloads\[bilag_5_-_standardloesning_for_udskiftning_af_braendselskedler_i_stalde_120822 (3).xlsx]Grise - regneark'!#REF!</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m:sqref>G24:H24</xm:sqref>
        </x14:conditionalFormatting>
        <x14:conditionalFormatting xmlns:xm="http://schemas.microsoft.com/office/excel/2006/main">
          <x14:cfRule type="expression" priority="22" id="{A239B412-4167-4C7D-BE48-EA8FF54FCF79}">
            <xm:f>$J$17='\Users\B130824\Downloads\[bilag_5_-_standardloesning_for_udskiftning_af_braendselskedler_i_stalde_120822 (3).xlsx]Grise - regneark'!#REF!</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3" id="{4E9194FE-DA05-472E-A8C3-61EE458BC1E6}">
            <xm:f>$J$17='\Users\B130824\Downloads\[bilag_5_-_standardloesning_for_udskiftning_af_braendselskedler_i_stalde_120822 (3).xlsx]Grise - regneark'!#REF!</xm:f>
            <x14:dxf>
              <font>
                <b/>
                <i val="0"/>
              </font>
              <fill>
                <patternFill>
                  <bgColor theme="9" tint="0.59996337778862885"/>
                </patternFill>
              </fill>
              <border>
                <left style="thin">
                  <color auto="1"/>
                </left>
                <right style="thin">
                  <color auto="1"/>
                </right>
                <top style="thin">
                  <color auto="1"/>
                </top>
                <bottom style="thin">
                  <color auto="1"/>
                </bottom>
                <vertical/>
                <horizontal/>
              </border>
            </x14:dxf>
          </x14:cfRule>
          <xm:sqref>I24</xm:sqref>
        </x14:conditionalFormatting>
        <x14:conditionalFormatting xmlns:xm="http://schemas.microsoft.com/office/excel/2006/main">
          <x14:cfRule type="expression" priority="53" id="{14F2932F-3053-4C24-A21F-A6FB65C81B3D}">
            <xm:f>$J$35='\Users\B130824\Downloads\[bilag_5_-_standardloesning_for_udskiftning_af_braendselskedler_i_stalde_120822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14:cfRule type="expression" priority="54" id="{94AA2F19-F639-49CA-A1F5-4E28488F6FAD}">
            <xm:f>$J$35='\Users\B130824\Downloads\[bilag_5_-_standardloesning_for_udskiftning_af_braendselskedler_i_stalde_120822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m:sqref>C39:C41 E39:F39 I39 E41:F41 E40 I41</xm:sqref>
        </x14:conditionalFormatting>
        <x14:conditionalFormatting xmlns:xm="http://schemas.microsoft.com/office/excel/2006/main">
          <x14:cfRule type="expression" priority="15" id="{73636485-9D89-46E4-AF08-136AC5BAD08E}">
            <xm:f>$J$35='\Users\B130824\Downloads\[bilag_5_-_standardloesning_for_udskiftning_af_braendselskedler_i_stalde_120822 (3).xlsx]Grise - regneark'!#REF!</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0" id="{5598BC12-46F4-4194-86EB-41AFB27D906A}">
            <xm:f>$J$35='\Users\B130824\Downloads\[bilag_5_-_standardloesning_for_udskiftning_af_braendselskedler_i_stalde_120822 (3).xlsx]Grise - regneark'!#REF!</xm:f>
            <x14:dxf>
              <font>
                <color theme="9" tint="0.59996337778862885"/>
              </font>
              <fill>
                <patternFill>
                  <bgColor theme="9" tint="0.59996337778862885"/>
                </patternFill>
              </fill>
              <border>
                <left/>
                <right/>
                <top style="thin">
                  <color auto="1"/>
                </top>
                <bottom/>
                <vertical/>
                <horizontal/>
              </border>
            </x14:dxf>
          </x14:cfRule>
          <xm:sqref>J37</xm:sqref>
        </x14:conditionalFormatting>
        <x14:conditionalFormatting xmlns:xm="http://schemas.microsoft.com/office/excel/2006/main">
          <x14:cfRule type="expression" priority="19" id="{0F9B92A8-C848-4975-9F74-40EB77C029B3}">
            <xm:f>$J$35='\Users\B130824\Downloads\[bilag_5_-_standardloesning_for_udskiftning_af_braendselskedler_i_stalde_120822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m:sqref>C39:J39 C41:J41 C40 E40</xm:sqref>
        </x14:conditionalFormatting>
        <x14:conditionalFormatting xmlns:xm="http://schemas.microsoft.com/office/excel/2006/main">
          <x14:cfRule type="expression" priority="18" id="{94A1414F-CD4E-49E7-8F8B-A49E349837AC}">
            <xm:f>$J$35='\Users\B130824\Downloads\[bilag_5_-_standardloesning_for_udskiftning_af_braendselskedler_i_stalde_120822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m:sqref>C39:J39</xm:sqref>
        </x14:conditionalFormatting>
        <x14:conditionalFormatting xmlns:xm="http://schemas.microsoft.com/office/excel/2006/main">
          <x14:cfRule type="expression" priority="13" id="{AC5E0AB7-15FD-41E8-88CF-1FB10BADC7F5}">
            <xm:f>$J$35='\Users\B130824\Downloads\[bilag_5_-_standardloesning_for_udskiftning_af_braendselskedler_i_stalde_120822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14:cfRule type="expression" priority="14" id="{3860DF4D-86D4-461F-B131-9BE71C296ABB}">
            <xm:f>$J$35='\Users\B130824\Downloads\[bilag_5_-_standardloesning_for_udskiftning_af_braendselskedler_i_stalde_120822 (3).xlsx]Grise - regneark'!#REF!</xm:f>
            <x14:dxf>
              <font>
                <color theme="9" tint="0.59996337778862885"/>
              </font>
              <fill>
                <patternFill>
                  <bgColor theme="9" tint="0.59996337778862885"/>
                </patternFill>
              </fill>
              <border>
                <left/>
                <right/>
                <top/>
                <bottom/>
                <vertical/>
                <horizontal/>
              </border>
            </x14:dxf>
          </x14:cfRule>
          <xm:sqref>I37</xm:sqref>
        </x14:conditionalFormatting>
        <x14:conditionalFormatting xmlns:xm="http://schemas.microsoft.com/office/excel/2006/main">
          <x14:cfRule type="iconSet" priority="55" id="{7009F22B-61F7-44F9-AF94-F79A98AD6E0F}">
            <x14:iconSet iconSet="3Symbols2" custom="1">
              <x14:cfvo type="percent">
                <xm:f>0</xm:f>
              </x14:cfvo>
              <x14:cfvo type="num">
                <xm:f>-0.5</xm:f>
              </x14:cfvo>
              <x14:cfvo type="num">
                <xm:f>0.5</xm:f>
              </x14:cfvo>
              <x14:cfIcon iconSet="3Symbols2" iconId="0"/>
              <x14:cfIcon iconSet="3Symbols2" iconId="1"/>
              <x14:cfIcon iconSet="3Symbols2" iconId="2"/>
            </x14:iconSet>
          </x14:cfRule>
          <xm:sqref>K14:L14</xm:sqref>
        </x14:conditionalFormatting>
        <x14:conditionalFormatting xmlns:xm="http://schemas.microsoft.com/office/excel/2006/main">
          <x14:cfRule type="expression" priority="6" id="{6AA0FF6A-1A12-47C5-BD40-C40DA82B7B0F}">
            <xm:f>'Grise - regneark'!$C$32&gt;2</xm:f>
            <x14:dxf>
              <font>
                <color theme="1"/>
              </font>
              <fill>
                <patternFill>
                  <bgColor rgb="FFFFFF00"/>
                </patternFill>
              </fill>
              <border>
                <left style="thin">
                  <color auto="1"/>
                </left>
                <right style="thin">
                  <color auto="1"/>
                </right>
                <top style="thin">
                  <color auto="1"/>
                </top>
                <bottom style="thin">
                  <color auto="1"/>
                </bottom>
                <vertical/>
                <horizontal/>
              </border>
            </x14:dxf>
          </x14:cfRule>
          <xm:sqref>C40:H40</xm:sqref>
        </x14:conditionalFormatting>
        <x14:conditionalFormatting xmlns:xm="http://schemas.microsoft.com/office/excel/2006/main">
          <x14:cfRule type="expression" priority="5" id="{3A3FD0E2-E9D4-4883-ACF8-CBCC760C8E6B}">
            <xm:f>'Grise - regneark'!$C$32&gt;2</xm:f>
            <x14:dxf>
              <fill>
                <patternFill>
                  <bgColor theme="0" tint="-0.14996795556505021"/>
                </patternFill>
              </fill>
              <border>
                <left style="thin">
                  <color auto="1"/>
                </left>
                <right style="thin">
                  <color auto="1"/>
                </right>
                <top style="thin">
                  <color auto="1"/>
                </top>
                <bottom style="thin">
                  <color auto="1"/>
                </bottom>
              </border>
            </x14:dxf>
          </x14:cfRule>
          <xm:sqref>I40:J40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'Kyllinge - regneark'!$B$10:$C$10</xm:f>
          </x14:formula1>
          <xm:sqref>F21:F23</xm:sqref>
        </x14:dataValidation>
        <x14:dataValidation type="list" allowBlank="1" showInputMessage="1" showErrorMessage="1">
          <x14:formula1>
            <xm:f>'Kyllinge - regneark'!$B$25:$C$25</xm:f>
          </x14:formula1>
          <xm:sqref>Q8:Q11</xm:sqref>
        </x14:dataValidation>
        <x14:dataValidation type="list" allowBlank="1" showErrorMessage="1" error="Der kan indtastes værdier mellem 0 og 24">
          <x14:formula1>
            <xm:f>'Kyllinge - regneark'!$B$13:$C$13</xm:f>
          </x14:formula1>
          <xm:sqref>J17</xm:sqref>
        </x14:dataValidation>
        <x14:dataValidation type="list" allowBlank="1" showInputMessage="1" showErrorMessage="1">
          <x14:formula1>
            <xm:f>'Forbrugsberegner 4'!$F$110:$F$114</xm:f>
          </x14:formula1>
          <xm:sqref>J27</xm:sqref>
        </x14:dataValidation>
        <x14:dataValidation type="list" allowBlank="1" showInputMessage="1" showErrorMessage="1">
          <x14:formula1>
            <xm:f>'Grise - regneark'!$C$28:$G$28</xm:f>
          </x14:formula1>
          <xm:sqref>J35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sheetPr>
  <dimension ref="A1:Y54"/>
  <sheetViews>
    <sheetView topLeftCell="A10" zoomScaleNormal="100" workbookViewId="0">
      <selection activeCell="M8" sqref="M8"/>
    </sheetView>
  </sheetViews>
  <sheetFormatPr defaultColWidth="9.28515625" defaultRowHeight="15" x14ac:dyDescent="0.25"/>
  <cols>
    <col min="1" max="1" width="22.42578125" style="201" customWidth="1"/>
    <col min="2" max="2" width="7.42578125" style="201" customWidth="1"/>
    <col min="3" max="3" width="11.7109375" style="201" bestFit="1" customWidth="1"/>
    <col min="4" max="4" width="35.5703125" style="201" customWidth="1"/>
    <col min="5" max="5" width="11" style="201" customWidth="1"/>
    <col min="6" max="6" width="29.5703125" style="201" customWidth="1"/>
    <col min="7" max="7" width="25.5703125" style="201" bestFit="1" customWidth="1"/>
    <col min="8" max="8" width="19.5703125" style="201" customWidth="1"/>
    <col min="9" max="9" width="9.28515625" style="201" customWidth="1"/>
    <col min="10" max="10" width="7.28515625" style="201" customWidth="1"/>
    <col min="11" max="12" width="9.28515625" style="201"/>
    <col min="13" max="13" width="7.28515625" style="201" customWidth="1"/>
    <col min="14" max="14" width="9.28515625" style="201"/>
    <col min="15" max="15" width="21.7109375" style="201" customWidth="1"/>
    <col min="16" max="16" width="10.42578125" style="201" customWidth="1"/>
    <col min="17" max="17" width="12.5703125" style="201" customWidth="1"/>
    <col min="18" max="18" width="9.28515625" style="201"/>
    <col min="19" max="19" width="30.7109375" style="141" bestFit="1" customWidth="1"/>
    <col min="20" max="16384" width="9.28515625" style="141"/>
  </cols>
  <sheetData>
    <row r="1" spans="1:18" x14ac:dyDescent="0.25">
      <c r="A1" s="97"/>
      <c r="B1" s="585" t="s">
        <v>16</v>
      </c>
      <c r="C1" s="585"/>
      <c r="D1" s="586"/>
      <c r="E1" s="586"/>
      <c r="F1" s="139" t="s">
        <v>220</v>
      </c>
      <c r="G1" s="139"/>
      <c r="H1" s="139"/>
      <c r="I1" s="139"/>
      <c r="J1" s="70"/>
      <c r="K1" s="70"/>
      <c r="L1" s="69"/>
      <c r="M1" s="99"/>
      <c r="N1" s="69"/>
      <c r="O1" s="99"/>
      <c r="P1" s="69"/>
      <c r="Q1" s="69"/>
      <c r="R1" s="140"/>
    </row>
    <row r="2" spans="1:18" x14ac:dyDescent="0.25">
      <c r="A2" s="70"/>
      <c r="B2" s="585"/>
      <c r="C2" s="585"/>
      <c r="D2" s="586"/>
      <c r="E2" s="586"/>
      <c r="F2" s="139" t="s">
        <v>73</v>
      </c>
      <c r="G2" s="139"/>
      <c r="H2" s="139"/>
      <c r="I2" s="139"/>
      <c r="J2" s="70"/>
      <c r="K2" s="70"/>
      <c r="L2" s="71"/>
      <c r="M2" s="71"/>
      <c r="N2" s="142"/>
      <c r="O2" s="71"/>
      <c r="P2" s="71"/>
      <c r="Q2" s="71"/>
      <c r="R2" s="140"/>
    </row>
    <row r="3" spans="1:18" ht="18" x14ac:dyDescent="0.25">
      <c r="A3" s="101"/>
      <c r="B3" s="73" t="str">
        <f>Beskrivelse!C22</f>
        <v xml:space="preserve">Tiltag 5 Virkningsgradsberegner brændselskedler </v>
      </c>
      <c r="C3" s="143"/>
      <c r="D3" s="70"/>
      <c r="E3" s="70"/>
      <c r="F3" s="70"/>
      <c r="G3" s="70"/>
      <c r="H3" s="70"/>
      <c r="I3" s="70"/>
      <c r="J3" s="70"/>
      <c r="K3" s="70"/>
      <c r="L3" s="70"/>
      <c r="M3" s="71"/>
      <c r="N3" s="142"/>
      <c r="O3" s="71"/>
      <c r="P3" s="71"/>
      <c r="Q3" s="75"/>
      <c r="R3" s="140"/>
    </row>
    <row r="4" spans="1:18" ht="15" customHeight="1" x14ac:dyDescent="0.25">
      <c r="A4" s="104"/>
      <c r="B4" s="104"/>
      <c r="C4" s="104"/>
      <c r="D4" s="104"/>
      <c r="E4" s="104"/>
      <c r="F4" s="104"/>
      <c r="G4" s="104"/>
      <c r="H4" s="104"/>
      <c r="I4" s="104"/>
      <c r="J4" s="104"/>
      <c r="K4" s="104"/>
      <c r="L4" s="104"/>
      <c r="M4" s="104"/>
      <c r="N4" s="104"/>
      <c r="O4" s="104"/>
      <c r="P4" s="104"/>
      <c r="Q4" s="104"/>
      <c r="R4" s="140"/>
    </row>
    <row r="5" spans="1:18" x14ac:dyDescent="0.25">
      <c r="A5" s="70"/>
      <c r="B5" s="144"/>
      <c r="C5" s="70"/>
      <c r="D5" s="70"/>
      <c r="E5" s="70"/>
      <c r="F5" s="70"/>
      <c r="G5" s="70"/>
      <c r="H5" s="70"/>
      <c r="I5" s="70"/>
      <c r="J5" s="70"/>
      <c r="K5" s="70"/>
      <c r="L5" s="70"/>
      <c r="M5" s="70"/>
      <c r="N5" s="70"/>
      <c r="O5" s="70"/>
      <c r="P5" s="70"/>
      <c r="Q5" s="70"/>
      <c r="R5" s="140"/>
    </row>
    <row r="6" spans="1:18" x14ac:dyDescent="0.25">
      <c r="A6" s="70"/>
      <c r="B6" s="587" t="s">
        <v>17</v>
      </c>
      <c r="C6" s="587"/>
      <c r="D6" s="587"/>
      <c r="E6" s="587"/>
      <c r="F6" s="587"/>
      <c r="G6" s="587"/>
      <c r="H6" s="587"/>
      <c r="I6" s="587"/>
      <c r="J6" s="587"/>
      <c r="K6" s="587"/>
      <c r="L6" s="587"/>
      <c r="M6" s="70"/>
      <c r="N6" s="70"/>
      <c r="O6" s="70"/>
      <c r="P6" s="70"/>
      <c r="Q6" s="70"/>
      <c r="R6" s="140"/>
    </row>
    <row r="7" spans="1:18" x14ac:dyDescent="0.25">
      <c r="A7" s="70"/>
      <c r="B7" s="587"/>
      <c r="C7" s="587"/>
      <c r="D7" s="587"/>
      <c r="E7" s="587"/>
      <c r="F7" s="587"/>
      <c r="G7" s="587"/>
      <c r="H7" s="587"/>
      <c r="I7" s="587"/>
      <c r="J7" s="587"/>
      <c r="K7" s="587"/>
      <c r="L7" s="587"/>
      <c r="M7" s="145"/>
      <c r="N7" s="146"/>
      <c r="O7" s="146"/>
      <c r="P7" s="70"/>
      <c r="Q7" s="70"/>
      <c r="R7" s="140"/>
    </row>
    <row r="8" spans="1:18" x14ac:dyDescent="0.25">
      <c r="A8" s="70"/>
      <c r="B8" s="147" t="s">
        <v>18</v>
      </c>
      <c r="C8" s="600" t="s">
        <v>365</v>
      </c>
      <c r="D8" s="600"/>
      <c r="E8" s="600"/>
      <c r="F8" s="600"/>
      <c r="G8" s="600"/>
      <c r="H8" s="600"/>
      <c r="I8" s="600"/>
      <c r="J8" s="600"/>
      <c r="K8" s="600"/>
      <c r="L8" s="601"/>
      <c r="M8" s="148"/>
      <c r="N8" s="137" t="s">
        <v>19</v>
      </c>
      <c r="O8" s="137">
        <f>IF(M8="",0,IF(M8=N8,1,-1))</f>
        <v>0</v>
      </c>
      <c r="P8" s="149"/>
      <c r="Q8" s="70"/>
      <c r="R8" s="140"/>
    </row>
    <row r="9" spans="1:18" x14ac:dyDescent="0.25">
      <c r="A9" s="70"/>
      <c r="B9" s="147" t="s">
        <v>18</v>
      </c>
      <c r="C9" s="486" t="s">
        <v>359</v>
      </c>
      <c r="D9" s="262"/>
      <c r="E9" s="262"/>
      <c r="F9" s="262"/>
      <c r="G9" s="262"/>
      <c r="H9" s="262"/>
      <c r="I9" s="262"/>
      <c r="J9" s="262"/>
      <c r="K9" s="262"/>
      <c r="L9" s="263"/>
      <c r="M9" s="148"/>
      <c r="N9" s="137" t="s">
        <v>20</v>
      </c>
      <c r="O9" s="137">
        <f>IF(M9="",0,IF(M9=N9,1,-1))</f>
        <v>0</v>
      </c>
      <c r="P9" s="149"/>
      <c r="Q9" s="70"/>
      <c r="R9" s="140"/>
    </row>
    <row r="10" spans="1:18" x14ac:dyDescent="0.25">
      <c r="A10" s="70"/>
      <c r="B10" s="147" t="s">
        <v>18</v>
      </c>
      <c r="C10" s="492" t="s">
        <v>366</v>
      </c>
      <c r="D10" s="262"/>
      <c r="E10" s="262"/>
      <c r="F10" s="262"/>
      <c r="G10" s="262"/>
      <c r="H10" s="262"/>
      <c r="I10" s="262"/>
      <c r="J10" s="262"/>
      <c r="K10" s="262"/>
      <c r="L10" s="263"/>
      <c r="M10" s="148"/>
      <c r="N10" s="137" t="s">
        <v>19</v>
      </c>
      <c r="O10" s="137">
        <f>IF(M10="",0,IF(M10=N10,1,-1))</f>
        <v>0</v>
      </c>
      <c r="P10" s="149"/>
      <c r="Q10" s="70"/>
      <c r="R10" s="140"/>
    </row>
    <row r="11" spans="1:18" ht="29.25" x14ac:dyDescent="0.25">
      <c r="A11" s="70"/>
      <c r="B11" s="150" t="str">
        <f>IF(I11=0,"Spørgsmål om afgrænsning er ikke besvaret",IF(I11=1,"Projektet er omfattet af standardløsningen","Projektet er IKKE omfattet af standardløsningen"))</f>
        <v>Spørgsmål om afgrænsning er ikke besvaret</v>
      </c>
      <c r="C11" s="151"/>
      <c r="D11" s="151"/>
      <c r="E11" s="151"/>
      <c r="F11" s="151"/>
      <c r="G11" s="152" t="s">
        <v>100</v>
      </c>
      <c r="H11" s="151"/>
      <c r="I11" s="138">
        <f>MIN(O8:O10)</f>
        <v>0</v>
      </c>
      <c r="J11" s="70"/>
      <c r="K11" s="70"/>
      <c r="L11" s="70"/>
      <c r="M11" s="70"/>
      <c r="N11" s="70"/>
      <c r="O11" s="70"/>
      <c r="P11" s="70"/>
      <c r="Q11" s="70"/>
      <c r="R11" s="140"/>
    </row>
    <row r="12" spans="1:18" ht="22.5" x14ac:dyDescent="0.3">
      <c r="A12" s="70"/>
      <c r="B12" s="153"/>
      <c r="C12" s="70"/>
      <c r="D12" s="70"/>
      <c r="E12" s="70"/>
      <c r="F12" s="70"/>
      <c r="G12" s="154" t="s">
        <v>101</v>
      </c>
      <c r="H12" s="70"/>
      <c r="I12" s="70"/>
      <c r="J12" s="155"/>
      <c r="K12" s="155"/>
      <c r="L12" s="70"/>
      <c r="M12" s="70"/>
      <c r="N12" s="70"/>
      <c r="O12" s="70"/>
      <c r="P12" s="70"/>
      <c r="Q12" s="101"/>
      <c r="R12" s="140"/>
    </row>
    <row r="13" spans="1:18" ht="18" x14ac:dyDescent="0.25">
      <c r="A13" s="70"/>
      <c r="B13" s="575" t="s">
        <v>21</v>
      </c>
      <c r="C13" s="575"/>
      <c r="D13" s="575"/>
      <c r="E13" s="575"/>
      <c r="F13" s="575"/>
      <c r="G13" s="575"/>
      <c r="H13" s="575"/>
      <c r="I13" s="575"/>
      <c r="J13" s="181" t="s">
        <v>138</v>
      </c>
      <c r="K13" s="264"/>
      <c r="L13" s="70"/>
      <c r="M13" s="101"/>
      <c r="N13" s="101"/>
      <c r="O13" s="101"/>
      <c r="P13" s="101"/>
      <c r="Q13" s="70"/>
      <c r="R13" s="140"/>
    </row>
    <row r="14" spans="1:18" ht="24.75" customHeight="1" x14ac:dyDescent="0.25">
      <c r="A14" s="70"/>
      <c r="B14" s="157">
        <v>1</v>
      </c>
      <c r="C14" s="158" t="s">
        <v>139</v>
      </c>
      <c r="D14" s="159"/>
      <c r="E14" s="159"/>
      <c r="F14" s="159"/>
      <c r="G14" s="160"/>
      <c r="H14" s="160"/>
      <c r="I14" s="160"/>
      <c r="J14" s="70"/>
      <c r="K14" s="151"/>
      <c r="L14" s="151"/>
      <c r="M14" s="151"/>
      <c r="N14" s="151"/>
      <c r="O14" s="151"/>
      <c r="P14" s="151"/>
      <c r="Q14" s="151"/>
      <c r="R14" s="140"/>
    </row>
    <row r="15" spans="1:18" ht="24.75" customHeight="1" x14ac:dyDescent="0.25">
      <c r="A15" s="70"/>
      <c r="B15" s="164" t="s">
        <v>103</v>
      </c>
      <c r="C15" s="165" t="s">
        <v>331</v>
      </c>
      <c r="D15" s="165"/>
      <c r="E15" s="165"/>
      <c r="F15" s="166"/>
      <c r="G15" s="576"/>
      <c r="H15" s="576"/>
      <c r="I15" s="167"/>
      <c r="J15" s="70"/>
      <c r="K15" s="151"/>
      <c r="L15" s="151"/>
      <c r="M15" s="151"/>
      <c r="N15" s="151"/>
      <c r="O15" s="151"/>
      <c r="P15" s="151"/>
      <c r="Q15" s="151"/>
      <c r="R15" s="140"/>
    </row>
    <row r="16" spans="1:18" s="173" customFormat="1" ht="26.65" customHeight="1" x14ac:dyDescent="0.25">
      <c r="A16" s="169"/>
      <c r="B16" s="164" t="s">
        <v>102</v>
      </c>
      <c r="C16" s="577" t="s">
        <v>332</v>
      </c>
      <c r="D16" s="577"/>
      <c r="E16" s="577"/>
      <c r="F16" s="578"/>
      <c r="G16" s="579"/>
      <c r="H16" s="580"/>
      <c r="I16" s="167"/>
      <c r="J16" s="70"/>
      <c r="K16" s="151"/>
      <c r="L16" s="151"/>
      <c r="M16" s="151"/>
      <c r="N16" s="151"/>
      <c r="O16" s="151"/>
      <c r="P16" s="151"/>
      <c r="Q16" s="151"/>
      <c r="R16" s="172"/>
    </row>
    <row r="17" spans="1:25" ht="24.75" customHeight="1" x14ac:dyDescent="0.25">
      <c r="A17" s="70"/>
      <c r="B17" s="164" t="s">
        <v>104</v>
      </c>
      <c r="C17" s="565" t="s">
        <v>134</v>
      </c>
      <c r="D17" s="565"/>
      <c r="E17" s="565"/>
      <c r="F17" s="584"/>
      <c r="G17" s="581"/>
      <c r="H17" s="582"/>
      <c r="I17" s="167"/>
      <c r="J17" s="169"/>
      <c r="K17" s="151"/>
      <c r="L17" s="151"/>
      <c r="M17" s="151"/>
      <c r="N17" s="151"/>
      <c r="O17" s="151"/>
      <c r="P17" s="151"/>
      <c r="Q17" s="151"/>
      <c r="R17" s="140"/>
    </row>
    <row r="18" spans="1:25" ht="24.75" customHeight="1" x14ac:dyDescent="0.25">
      <c r="A18" s="70"/>
      <c r="B18" s="174"/>
      <c r="C18" s="565" t="str">
        <f>IF(G15="Kul/koks","Normvirkningsgrad","")</f>
        <v/>
      </c>
      <c r="D18" s="565"/>
      <c r="E18" s="565"/>
      <c r="F18" s="565"/>
      <c r="G18" s="654"/>
      <c r="H18" s="654"/>
      <c r="I18" s="167"/>
      <c r="J18" s="70"/>
      <c r="K18" s="151"/>
      <c r="L18" s="151"/>
      <c r="M18" s="151"/>
      <c r="N18" s="151"/>
      <c r="O18" s="151"/>
      <c r="P18" s="151"/>
      <c r="Q18" s="151"/>
      <c r="R18" s="140"/>
      <c r="T18" s="175"/>
      <c r="U18" s="175"/>
      <c r="V18" s="175"/>
      <c r="W18" s="175"/>
      <c r="X18" s="175"/>
      <c r="Y18" s="175"/>
    </row>
    <row r="19" spans="1:25" ht="24.75" customHeight="1" x14ac:dyDescent="0.25">
      <c r="A19" s="70"/>
      <c r="B19" s="164" t="s">
        <v>105</v>
      </c>
      <c r="C19" s="565" t="s">
        <v>333</v>
      </c>
      <c r="D19" s="565"/>
      <c r="E19" s="565"/>
      <c r="F19" s="565"/>
      <c r="G19" s="653" t="str">
        <f>IFERROR(IF(OR(I11&lt;&gt;1,G15="",G16="",G17=""),"",IF(OR(G15='Forbrugsberegner 5'!E100,G15='Forbrugsberegner 5'!E101),Kalorifere!F6*100,'Forbrugsberegner 5'!D14)),"Ugyldig kombination")</f>
        <v/>
      </c>
      <c r="H19" s="653"/>
      <c r="I19" s="167"/>
      <c r="J19" s="70"/>
      <c r="K19" s="151"/>
      <c r="L19" s="151"/>
      <c r="M19" s="151"/>
      <c r="N19" s="151"/>
      <c r="O19" s="151"/>
      <c r="P19" s="151"/>
      <c r="Q19" s="151"/>
      <c r="R19" s="140"/>
      <c r="T19" s="175"/>
      <c r="U19" s="175"/>
      <c r="V19" s="175"/>
      <c r="W19" s="175"/>
      <c r="X19" s="175"/>
      <c r="Y19" s="175"/>
    </row>
    <row r="20" spans="1:25" ht="24.75" customHeight="1" x14ac:dyDescent="0.25">
      <c r="A20" s="70"/>
      <c r="B20" s="164"/>
      <c r="C20" s="265"/>
      <c r="D20" s="265"/>
      <c r="E20" s="265"/>
      <c r="F20" s="265"/>
      <c r="G20" s="177"/>
      <c r="H20" s="177"/>
      <c r="I20" s="167"/>
      <c r="J20" s="70"/>
      <c r="K20" s="151"/>
      <c r="L20" s="151"/>
      <c r="M20" s="151"/>
      <c r="N20" s="151"/>
      <c r="O20" s="151"/>
      <c r="P20" s="151"/>
      <c r="Q20" s="151"/>
      <c r="R20" s="140"/>
      <c r="T20" s="175"/>
      <c r="U20" s="175"/>
      <c r="V20" s="175"/>
      <c r="W20" s="175"/>
      <c r="X20" s="175"/>
      <c r="Y20" s="175"/>
    </row>
    <row r="21" spans="1:25" ht="27" customHeight="1" x14ac:dyDescent="0.25">
      <c r="A21" s="70"/>
      <c r="B21" s="151"/>
      <c r="C21" s="151"/>
      <c r="D21" s="151"/>
      <c r="E21" s="151"/>
      <c r="F21" s="151"/>
      <c r="G21" s="151"/>
      <c r="H21" s="151"/>
      <c r="I21" s="197"/>
      <c r="J21" s="275"/>
      <c r="K21" s="151"/>
      <c r="L21" s="151"/>
      <c r="M21" s="151"/>
      <c r="N21" s="151"/>
      <c r="O21" s="151"/>
      <c r="P21" s="151"/>
      <c r="Q21" s="151"/>
      <c r="R21" s="140"/>
      <c r="T21" s="175"/>
      <c r="U21" s="175"/>
      <c r="V21" s="175"/>
      <c r="W21" s="175"/>
      <c r="X21" s="175"/>
      <c r="Y21" s="175"/>
    </row>
    <row r="22" spans="1:25" ht="26.25" customHeight="1" x14ac:dyDescent="0.25">
      <c r="A22" s="140"/>
      <c r="B22" s="140"/>
      <c r="C22" s="140"/>
      <c r="D22" s="140"/>
      <c r="E22" s="140"/>
      <c r="F22" s="140"/>
      <c r="G22" s="140"/>
      <c r="H22" s="140"/>
      <c r="I22" s="140"/>
      <c r="J22" s="140"/>
      <c r="K22" s="140"/>
      <c r="L22" s="140"/>
      <c r="M22" s="140"/>
      <c r="N22" s="140"/>
      <c r="O22" s="140"/>
      <c r="P22" s="140"/>
      <c r="Q22" s="140"/>
      <c r="R22" s="140"/>
      <c r="T22" s="175"/>
      <c r="U22" s="175"/>
      <c r="V22" s="175"/>
      <c r="W22" s="175"/>
      <c r="X22" s="175"/>
      <c r="Y22" s="175"/>
    </row>
    <row r="23" spans="1:25" ht="24.75" customHeight="1" x14ac:dyDescent="0.25">
      <c r="A23" s="140"/>
      <c r="B23" s="140"/>
      <c r="C23" s="140"/>
      <c r="D23" s="140"/>
      <c r="E23" s="140"/>
      <c r="F23" s="140"/>
      <c r="G23" s="140"/>
      <c r="H23" s="140"/>
      <c r="I23" s="140"/>
      <c r="J23" s="140"/>
      <c r="K23" s="140"/>
      <c r="L23" s="140"/>
      <c r="M23" s="140"/>
      <c r="N23" s="140"/>
      <c r="O23" s="140"/>
      <c r="P23" s="140"/>
      <c r="Q23" s="140"/>
      <c r="R23" s="140"/>
      <c r="T23" s="175"/>
      <c r="U23" s="175"/>
      <c r="V23" s="175"/>
      <c r="W23" s="175"/>
      <c r="X23" s="175"/>
      <c r="Y23" s="175"/>
    </row>
    <row r="24" spans="1:25" ht="24.75" customHeight="1" x14ac:dyDescent="0.25">
      <c r="A24" s="141"/>
      <c r="B24" s="141"/>
      <c r="C24" s="141"/>
      <c r="D24" s="141"/>
      <c r="E24" s="141"/>
      <c r="F24" s="141"/>
      <c r="G24" s="141"/>
      <c r="H24" s="141"/>
      <c r="I24" s="141"/>
      <c r="J24" s="141"/>
      <c r="K24" s="141"/>
      <c r="L24" s="141"/>
      <c r="M24" s="141"/>
      <c r="N24" s="141"/>
      <c r="O24" s="141"/>
      <c r="P24" s="141"/>
      <c r="Q24" s="141"/>
      <c r="R24" s="141"/>
      <c r="T24" s="175"/>
      <c r="U24" s="175"/>
      <c r="V24" s="175"/>
      <c r="W24" s="175"/>
      <c r="X24" s="175"/>
      <c r="Y24" s="175"/>
    </row>
    <row r="25" spans="1:25" ht="24.75" customHeight="1" x14ac:dyDescent="0.25">
      <c r="A25" s="141"/>
      <c r="B25" s="141"/>
      <c r="C25" s="141"/>
      <c r="D25" s="141"/>
      <c r="E25" s="141"/>
      <c r="F25" s="141"/>
      <c r="G25" s="141"/>
      <c r="H25" s="141"/>
      <c r="I25" s="141"/>
      <c r="J25" s="141"/>
      <c r="K25" s="141"/>
      <c r="L25" s="141"/>
      <c r="M25" s="141"/>
      <c r="N25" s="141"/>
      <c r="O25" s="141"/>
      <c r="P25" s="141"/>
      <c r="Q25" s="141"/>
      <c r="R25" s="141"/>
      <c r="T25" s="175"/>
      <c r="U25" s="175"/>
      <c r="V25" s="175"/>
      <c r="W25" s="175"/>
      <c r="X25" s="175"/>
      <c r="Y25" s="175"/>
    </row>
    <row r="26" spans="1:25" ht="24.75" customHeight="1" x14ac:dyDescent="0.25">
      <c r="A26" s="141"/>
      <c r="B26" s="141"/>
      <c r="C26" s="141"/>
      <c r="D26" s="141"/>
      <c r="E26" s="141"/>
      <c r="F26" s="141"/>
      <c r="G26" s="141"/>
      <c r="H26" s="141"/>
      <c r="I26" s="141"/>
      <c r="J26" s="141"/>
      <c r="K26" s="141"/>
      <c r="L26" s="141"/>
      <c r="M26" s="141"/>
      <c r="N26" s="141"/>
      <c r="O26" s="141"/>
      <c r="P26" s="141"/>
      <c r="Q26" s="141"/>
      <c r="R26" s="141"/>
      <c r="T26" s="175"/>
      <c r="U26" s="175"/>
      <c r="V26" s="175"/>
      <c r="W26" s="175"/>
      <c r="X26" s="175"/>
      <c r="Y26" s="175"/>
    </row>
    <row r="27" spans="1:25" ht="24.75" customHeight="1" x14ac:dyDescent="0.25">
      <c r="A27" s="141"/>
      <c r="B27" s="141"/>
      <c r="C27" s="141"/>
      <c r="D27" s="141"/>
      <c r="E27" s="141"/>
      <c r="F27" s="141"/>
      <c r="G27" s="141"/>
      <c r="H27" s="141"/>
      <c r="I27" s="141"/>
      <c r="J27" s="141"/>
      <c r="K27" s="141"/>
      <c r="L27" s="141"/>
      <c r="M27" s="141"/>
      <c r="N27" s="141"/>
      <c r="O27" s="141"/>
      <c r="P27" s="141"/>
      <c r="Q27" s="141"/>
      <c r="R27" s="141"/>
      <c r="T27" s="175"/>
      <c r="U27" s="175"/>
      <c r="V27" s="175"/>
      <c r="W27" s="175"/>
      <c r="X27" s="175"/>
      <c r="Y27" s="175"/>
    </row>
    <row r="28" spans="1:25" ht="24.75" customHeight="1" x14ac:dyDescent="0.25">
      <c r="A28" s="141"/>
      <c r="B28" s="141"/>
      <c r="C28" s="141"/>
      <c r="D28" s="141"/>
      <c r="E28" s="141"/>
      <c r="F28" s="141"/>
      <c r="G28" s="141"/>
      <c r="H28" s="141"/>
      <c r="I28" s="141"/>
      <c r="J28" s="141"/>
      <c r="K28" s="141"/>
      <c r="L28" s="141"/>
      <c r="M28" s="141"/>
      <c r="N28" s="141"/>
      <c r="O28" s="141"/>
      <c r="P28" s="141"/>
      <c r="Q28" s="141"/>
      <c r="R28" s="141"/>
      <c r="T28" s="175"/>
      <c r="U28" s="175"/>
      <c r="V28" s="175"/>
      <c r="W28" s="175"/>
      <c r="X28" s="175"/>
      <c r="Y28" s="175"/>
    </row>
    <row r="29" spans="1:25" ht="24.75" customHeight="1" x14ac:dyDescent="0.25">
      <c r="A29" s="141"/>
      <c r="B29" s="141"/>
      <c r="C29" s="141"/>
      <c r="D29" s="141"/>
      <c r="E29" s="141"/>
      <c r="F29" s="141"/>
      <c r="G29" s="141"/>
      <c r="H29" s="141"/>
      <c r="I29" s="141"/>
      <c r="J29" s="141"/>
      <c r="K29" s="141"/>
      <c r="L29" s="141"/>
      <c r="M29" s="141"/>
      <c r="N29" s="141"/>
      <c r="O29" s="141"/>
      <c r="P29" s="141"/>
      <c r="Q29" s="141"/>
      <c r="R29" s="141"/>
      <c r="T29" s="175"/>
      <c r="U29" s="175"/>
      <c r="V29" s="175"/>
      <c r="W29" s="175"/>
      <c r="X29" s="175"/>
      <c r="Y29" s="175"/>
    </row>
    <row r="30" spans="1:25" ht="24.75" customHeight="1" x14ac:dyDescent="0.25">
      <c r="A30" s="141"/>
      <c r="B30" s="141"/>
      <c r="C30" s="141"/>
      <c r="D30" s="141"/>
      <c r="E30" s="141"/>
      <c r="F30" s="141"/>
      <c r="G30" s="141"/>
      <c r="H30" s="141"/>
      <c r="I30" s="141"/>
      <c r="J30" s="141"/>
      <c r="K30" s="141"/>
      <c r="L30" s="141"/>
      <c r="M30" s="141"/>
      <c r="N30" s="141"/>
      <c r="O30" s="141"/>
      <c r="P30" s="141"/>
      <c r="Q30" s="141"/>
      <c r="R30" s="141"/>
      <c r="T30" s="175"/>
      <c r="U30" s="175"/>
      <c r="V30" s="175"/>
      <c r="W30" s="175"/>
      <c r="X30" s="175"/>
      <c r="Y30" s="175"/>
    </row>
    <row r="31" spans="1:25" ht="24.75" customHeight="1" x14ac:dyDescent="0.25">
      <c r="A31" s="141"/>
      <c r="B31" s="141"/>
      <c r="C31" s="141"/>
      <c r="D31" s="141"/>
      <c r="E31" s="141"/>
      <c r="F31" s="141"/>
      <c r="G31" s="141"/>
      <c r="H31" s="141"/>
      <c r="I31" s="141"/>
      <c r="J31" s="141"/>
      <c r="K31" s="141"/>
      <c r="L31" s="141"/>
      <c r="M31" s="141"/>
      <c r="N31" s="141"/>
      <c r="O31" s="141"/>
      <c r="P31" s="141"/>
      <c r="Q31" s="141"/>
      <c r="R31" s="141"/>
      <c r="T31" s="175"/>
      <c r="U31" s="175"/>
      <c r="V31" s="175"/>
      <c r="W31" s="175"/>
      <c r="X31" s="175"/>
      <c r="Y31" s="175"/>
    </row>
    <row r="32" spans="1:25" ht="24.75" customHeight="1" x14ac:dyDescent="0.25">
      <c r="A32" s="141"/>
      <c r="B32" s="141"/>
      <c r="C32" s="141"/>
      <c r="D32" s="141"/>
      <c r="E32" s="141"/>
      <c r="F32" s="141"/>
      <c r="G32" s="141"/>
      <c r="H32" s="141"/>
      <c r="I32" s="141"/>
      <c r="J32" s="141"/>
      <c r="K32" s="141"/>
      <c r="L32" s="141"/>
      <c r="M32" s="141"/>
      <c r="N32" s="141"/>
      <c r="O32" s="141"/>
      <c r="P32" s="141"/>
      <c r="Q32" s="141"/>
      <c r="R32" s="141"/>
      <c r="T32" s="175"/>
      <c r="U32" s="175"/>
      <c r="V32" s="175"/>
      <c r="W32" s="175"/>
      <c r="X32" s="175"/>
      <c r="Y32" s="175"/>
    </row>
    <row r="33" spans="1:25" ht="24.75" customHeight="1" x14ac:dyDescent="0.25">
      <c r="A33" s="141"/>
      <c r="B33" s="141"/>
      <c r="C33" s="141"/>
      <c r="D33" s="141"/>
      <c r="E33" s="141"/>
      <c r="F33" s="141"/>
      <c r="G33" s="141"/>
      <c r="H33" s="141"/>
      <c r="I33" s="141"/>
      <c r="J33" s="141"/>
      <c r="K33" s="141"/>
      <c r="L33" s="141"/>
      <c r="M33" s="141"/>
      <c r="N33" s="141"/>
      <c r="O33" s="141"/>
      <c r="P33" s="141"/>
      <c r="Q33" s="141"/>
      <c r="R33" s="141"/>
      <c r="T33" s="175"/>
      <c r="U33" s="175"/>
      <c r="V33" s="175"/>
      <c r="W33" s="175"/>
      <c r="X33" s="175"/>
      <c r="Y33" s="175"/>
    </row>
    <row r="34" spans="1:25" ht="24.75" customHeight="1" x14ac:dyDescent="0.25">
      <c r="A34" s="141"/>
      <c r="B34" s="141"/>
      <c r="C34" s="141"/>
      <c r="D34" s="141"/>
      <c r="E34" s="141"/>
      <c r="F34" s="141"/>
      <c r="G34" s="141"/>
      <c r="H34" s="141"/>
      <c r="I34" s="141"/>
      <c r="J34" s="141"/>
      <c r="K34" s="141"/>
      <c r="L34" s="141"/>
      <c r="M34" s="141"/>
      <c r="N34" s="141"/>
      <c r="O34" s="141"/>
      <c r="P34" s="141"/>
      <c r="Q34" s="141"/>
      <c r="R34" s="141"/>
      <c r="T34" s="175"/>
      <c r="U34" s="175"/>
      <c r="V34" s="175"/>
      <c r="W34" s="175"/>
      <c r="X34" s="175"/>
      <c r="Y34" s="175"/>
    </row>
    <row r="35" spans="1:25" ht="24.75" customHeight="1" x14ac:dyDescent="0.25">
      <c r="A35" s="141"/>
      <c r="B35" s="141"/>
      <c r="C35" s="141"/>
      <c r="D35" s="141"/>
      <c r="E35" s="141"/>
      <c r="F35" s="141"/>
      <c r="G35" s="141"/>
      <c r="H35" s="141"/>
      <c r="I35" s="141"/>
      <c r="J35" s="141"/>
      <c r="K35" s="141"/>
      <c r="L35" s="141"/>
      <c r="M35" s="141"/>
      <c r="N35" s="141"/>
      <c r="O35" s="141"/>
      <c r="P35" s="141"/>
      <c r="Q35" s="141"/>
      <c r="R35" s="141"/>
      <c r="T35" s="175"/>
      <c r="U35" s="175"/>
      <c r="V35" s="175"/>
      <c r="W35" s="175"/>
      <c r="X35" s="175"/>
      <c r="Y35" s="175"/>
    </row>
    <row r="36" spans="1:25" ht="24.75" customHeight="1" x14ac:dyDescent="0.25">
      <c r="A36" s="141"/>
      <c r="B36" s="141"/>
      <c r="C36" s="141"/>
      <c r="D36" s="141"/>
      <c r="E36" s="141"/>
      <c r="F36" s="141"/>
      <c r="G36" s="141"/>
      <c r="H36" s="141"/>
      <c r="I36" s="141"/>
      <c r="J36" s="141"/>
      <c r="K36" s="141"/>
      <c r="L36" s="141"/>
      <c r="M36" s="141"/>
      <c r="N36" s="141"/>
      <c r="O36" s="141"/>
      <c r="P36" s="141"/>
      <c r="Q36" s="141"/>
      <c r="R36" s="141"/>
      <c r="T36" s="175"/>
      <c r="U36" s="175"/>
      <c r="V36" s="175"/>
      <c r="W36" s="175"/>
      <c r="X36" s="175"/>
      <c r="Y36" s="175"/>
    </row>
    <row r="37" spans="1:25" ht="24.75" customHeight="1" x14ac:dyDescent="0.25">
      <c r="A37" s="141"/>
      <c r="B37" s="141"/>
      <c r="C37" s="141"/>
      <c r="D37" s="141"/>
      <c r="E37" s="141"/>
      <c r="F37" s="141"/>
      <c r="G37" s="141"/>
      <c r="H37" s="141"/>
      <c r="I37" s="141"/>
      <c r="J37" s="141"/>
      <c r="K37" s="141"/>
      <c r="L37" s="141"/>
      <c r="M37" s="141"/>
      <c r="N37" s="141"/>
      <c r="O37" s="141"/>
      <c r="P37" s="141"/>
      <c r="Q37" s="141"/>
      <c r="R37" s="141"/>
      <c r="S37" s="191"/>
      <c r="T37" s="191"/>
      <c r="U37" s="191"/>
      <c r="V37" s="191"/>
      <c r="W37" s="534"/>
      <c r="X37" s="534"/>
      <c r="Y37" s="193" t="str">
        <f>IF(G15="Naturgas","Nm3/år",IF(G15="Olie","l/år","kg/år"))</f>
        <v>kg/år</v>
      </c>
    </row>
    <row r="38" spans="1:25" ht="24.75" customHeight="1" x14ac:dyDescent="0.25">
      <c r="A38" s="141"/>
      <c r="B38" s="141"/>
      <c r="C38" s="141"/>
      <c r="D38" s="141"/>
      <c r="E38" s="141"/>
      <c r="F38" s="141"/>
      <c r="G38" s="141"/>
      <c r="H38" s="141"/>
      <c r="I38" s="141"/>
      <c r="J38" s="141"/>
      <c r="K38" s="141"/>
      <c r="L38" s="141"/>
      <c r="M38" s="141"/>
      <c r="N38" s="141"/>
      <c r="O38" s="141"/>
      <c r="P38" s="141"/>
      <c r="Q38" s="141"/>
      <c r="R38" s="141"/>
    </row>
    <row r="39" spans="1:25" ht="24.75" customHeight="1" x14ac:dyDescent="0.25">
      <c r="A39" s="141"/>
      <c r="B39" s="141"/>
      <c r="C39" s="141"/>
      <c r="D39" s="141"/>
      <c r="E39" s="141"/>
      <c r="F39" s="141"/>
      <c r="G39" s="141"/>
      <c r="H39" s="141"/>
      <c r="I39" s="141"/>
      <c r="J39" s="141"/>
      <c r="K39" s="141"/>
      <c r="L39" s="141"/>
      <c r="M39" s="141"/>
      <c r="N39" s="141"/>
      <c r="O39" s="141"/>
      <c r="P39" s="141"/>
      <c r="Q39" s="141"/>
      <c r="R39" s="141"/>
    </row>
    <row r="40" spans="1:25" ht="24.75" customHeight="1" x14ac:dyDescent="0.25">
      <c r="A40" s="141"/>
      <c r="B40" s="141"/>
      <c r="C40" s="141"/>
      <c r="D40" s="141"/>
      <c r="E40" s="141"/>
      <c r="F40" s="141"/>
      <c r="G40" s="141"/>
      <c r="H40" s="141"/>
      <c r="I40" s="141"/>
      <c r="J40" s="141"/>
      <c r="K40" s="141"/>
      <c r="L40" s="141"/>
      <c r="M40" s="141"/>
      <c r="N40" s="141"/>
      <c r="O40" s="141"/>
      <c r="P40" s="141"/>
      <c r="Q40" s="141"/>
      <c r="R40" s="141"/>
    </row>
    <row r="41" spans="1:25" ht="24.75" customHeight="1" x14ac:dyDescent="0.25">
      <c r="A41" s="141"/>
      <c r="B41" s="141"/>
      <c r="C41" s="141"/>
      <c r="D41" s="141"/>
      <c r="E41" s="141"/>
      <c r="F41" s="141"/>
      <c r="G41" s="141"/>
      <c r="H41" s="141"/>
      <c r="I41" s="141"/>
      <c r="J41" s="141"/>
      <c r="K41" s="141"/>
      <c r="L41" s="141"/>
      <c r="M41" s="141"/>
      <c r="N41" s="141"/>
      <c r="O41" s="141"/>
      <c r="P41" s="141"/>
      <c r="Q41" s="141"/>
      <c r="R41" s="141"/>
    </row>
    <row r="42" spans="1:25" ht="24.75" customHeight="1" x14ac:dyDescent="0.25">
      <c r="A42" s="141"/>
      <c r="B42" s="141"/>
      <c r="C42" s="141"/>
      <c r="D42" s="141"/>
      <c r="E42" s="141"/>
      <c r="F42" s="141"/>
      <c r="G42" s="141"/>
      <c r="H42" s="141"/>
      <c r="I42" s="141"/>
      <c r="J42" s="141"/>
      <c r="K42" s="141"/>
      <c r="L42" s="141"/>
      <c r="M42" s="141"/>
      <c r="N42" s="141"/>
      <c r="O42" s="141"/>
      <c r="P42" s="141"/>
      <c r="Q42" s="141"/>
      <c r="R42" s="141"/>
    </row>
    <row r="43" spans="1:25" ht="24.75" customHeight="1" x14ac:dyDescent="0.25">
      <c r="A43" s="141"/>
      <c r="B43" s="141"/>
      <c r="C43" s="141"/>
      <c r="D43" s="141"/>
      <c r="E43" s="141"/>
      <c r="F43" s="141"/>
      <c r="G43" s="141"/>
      <c r="H43" s="141"/>
      <c r="I43" s="141"/>
      <c r="J43" s="141"/>
      <c r="K43" s="141"/>
      <c r="L43" s="141"/>
      <c r="M43" s="141"/>
      <c r="N43" s="141"/>
      <c r="O43" s="141"/>
      <c r="P43" s="141"/>
      <c r="Q43" s="141"/>
      <c r="R43" s="141"/>
    </row>
    <row r="44" spans="1:25" x14ac:dyDescent="0.25">
      <c r="A44" s="141"/>
      <c r="J44" s="141"/>
      <c r="K44" s="141"/>
      <c r="L44" s="141"/>
      <c r="M44" s="141"/>
      <c r="N44" s="141"/>
      <c r="O44" s="141"/>
      <c r="P44" s="141"/>
      <c r="Q44" s="141"/>
      <c r="R44" s="141"/>
    </row>
    <row r="45" spans="1:25" x14ac:dyDescent="0.25">
      <c r="A45" s="141"/>
      <c r="J45" s="141"/>
      <c r="K45" s="141"/>
      <c r="L45" s="141"/>
      <c r="M45" s="141"/>
      <c r="N45" s="141"/>
      <c r="O45" s="141"/>
      <c r="P45" s="141"/>
      <c r="Q45" s="141"/>
      <c r="R45" s="141"/>
    </row>
    <row r="46" spans="1:25" x14ac:dyDescent="0.25">
      <c r="A46" s="141"/>
      <c r="J46" s="141"/>
      <c r="K46" s="141"/>
      <c r="L46" s="141"/>
      <c r="M46" s="141"/>
      <c r="N46" s="141"/>
      <c r="O46" s="141"/>
      <c r="P46" s="141"/>
      <c r="Q46" s="141"/>
      <c r="R46" s="141"/>
    </row>
    <row r="47" spans="1:25" x14ac:dyDescent="0.25">
      <c r="A47" s="141"/>
      <c r="J47" s="141"/>
      <c r="K47" s="141"/>
      <c r="L47" s="141"/>
      <c r="M47" s="141"/>
      <c r="N47" s="141"/>
      <c r="O47" s="141"/>
      <c r="P47" s="141"/>
      <c r="Q47" s="141"/>
      <c r="R47" s="141"/>
    </row>
    <row r="48" spans="1:25" x14ac:dyDescent="0.25">
      <c r="A48" s="141"/>
      <c r="J48" s="141"/>
      <c r="K48" s="141"/>
      <c r="L48" s="141"/>
      <c r="M48" s="141"/>
      <c r="N48" s="141"/>
      <c r="O48" s="141"/>
      <c r="P48" s="141"/>
      <c r="Q48" s="141"/>
      <c r="R48" s="141"/>
    </row>
    <row r="49" spans="1:18" x14ac:dyDescent="0.25">
      <c r="A49" s="141"/>
      <c r="J49" s="141"/>
      <c r="K49" s="141"/>
      <c r="L49" s="141"/>
      <c r="M49" s="141"/>
      <c r="N49" s="141"/>
      <c r="O49" s="141"/>
      <c r="P49" s="141"/>
      <c r="Q49" s="141"/>
      <c r="R49" s="141"/>
    </row>
    <row r="50" spans="1:18" x14ac:dyDescent="0.25">
      <c r="A50" s="141"/>
      <c r="J50" s="141"/>
      <c r="K50" s="141"/>
      <c r="L50" s="141"/>
      <c r="M50" s="141"/>
      <c r="N50" s="141"/>
      <c r="O50" s="141"/>
      <c r="P50" s="141"/>
      <c r="Q50" s="141"/>
      <c r="R50" s="141"/>
    </row>
    <row r="51" spans="1:18" x14ac:dyDescent="0.25">
      <c r="A51" s="141"/>
      <c r="J51" s="141"/>
      <c r="K51" s="141"/>
      <c r="L51" s="141"/>
      <c r="M51" s="141"/>
      <c r="N51" s="141"/>
      <c r="O51" s="141"/>
      <c r="P51" s="141"/>
      <c r="Q51" s="141"/>
      <c r="R51" s="141"/>
    </row>
    <row r="52" spans="1:18" x14ac:dyDescent="0.25">
      <c r="A52" s="141"/>
      <c r="J52" s="141"/>
      <c r="K52" s="141"/>
      <c r="L52" s="141"/>
      <c r="M52" s="141"/>
      <c r="N52" s="141"/>
      <c r="O52" s="141"/>
      <c r="P52" s="141"/>
      <c r="Q52" s="141"/>
      <c r="R52" s="141"/>
    </row>
    <row r="53" spans="1:18" x14ac:dyDescent="0.25">
      <c r="A53" s="141"/>
      <c r="J53" s="141"/>
      <c r="K53" s="141"/>
      <c r="L53" s="141"/>
      <c r="M53" s="141"/>
      <c r="N53" s="141"/>
      <c r="O53" s="141"/>
      <c r="P53" s="141"/>
      <c r="Q53" s="141"/>
      <c r="R53" s="141"/>
    </row>
    <row r="54" spans="1:18" x14ac:dyDescent="0.25">
      <c r="A54" s="141"/>
      <c r="J54" s="141"/>
      <c r="K54" s="141"/>
      <c r="L54" s="141"/>
      <c r="M54" s="141"/>
      <c r="N54" s="141"/>
      <c r="O54" s="141"/>
      <c r="P54" s="141"/>
      <c r="Q54" s="141"/>
      <c r="R54" s="141"/>
    </row>
  </sheetData>
  <sheetProtection algorithmName="SHA-512" hashValue="oaq+hHrnJdMV9U0SMMphgQ5gynp4Bk3uwjU8SEon9mS8odWAhFhJh52JM3FLta0ACiGEbPh54XRVUuOHE38Yxg==" saltValue="P8typbBpgpX1m+UXxNOBNg==" spinCount="100000" sheet="1" selectLockedCells="1"/>
  <mergeCells count="14">
    <mergeCell ref="C19:F19"/>
    <mergeCell ref="G19:H19"/>
    <mergeCell ref="C18:F18"/>
    <mergeCell ref="G18:H18"/>
    <mergeCell ref="B1:C2"/>
    <mergeCell ref="D1:E2"/>
    <mergeCell ref="B6:L7"/>
    <mergeCell ref="C8:L8"/>
    <mergeCell ref="B13:I13"/>
    <mergeCell ref="G15:H15"/>
    <mergeCell ref="C16:F16"/>
    <mergeCell ref="G16:H16"/>
    <mergeCell ref="C17:F17"/>
    <mergeCell ref="G17:H17"/>
  </mergeCells>
  <conditionalFormatting sqref="J12:K12">
    <cfRule type="iconSet" priority="23">
      <iconSet iconSet="3Symbols2">
        <cfvo type="percent" val="0"/>
        <cfvo type="percent" val="33"/>
        <cfvo type="percent" val="67"/>
      </iconSet>
    </cfRule>
  </conditionalFormatting>
  <conditionalFormatting sqref="G18:H18">
    <cfRule type="expression" dxfId="11" priority="18">
      <formula>#REF!="Ja"</formula>
    </cfRule>
    <cfRule type="expression" dxfId="10" priority="19">
      <formula>#REF!="Nej"</formula>
    </cfRule>
  </conditionalFormatting>
  <dataValidations count="1">
    <dataValidation type="decimal" allowBlank="1" showInputMessage="1" showErrorMessage="1" error="Kedlens varmeydelse må ikke være større end 1000 kW." prompt="Indtast effekt/varmeydelse på kedlen. Denne kan typisk findes i datablad eller på kedlens mærkeplade." sqref="G17:H17">
      <formula1>0</formula1>
      <formula2>1000</formula2>
    </dataValidation>
  </dataValidations>
  <hyperlinks>
    <hyperlink ref="B1:C2" location="Forside!A1" display="Forside"/>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35845" r:id="rId4">
          <objectPr defaultSize="0" autoPict="0" r:id="rId5">
            <anchor moveWithCells="1">
              <from>
                <xdr:col>14</xdr:col>
                <xdr:colOff>590550</xdr:colOff>
                <xdr:row>17</xdr:row>
                <xdr:rowOff>180975</xdr:rowOff>
              </from>
              <to>
                <xdr:col>15</xdr:col>
                <xdr:colOff>95250</xdr:colOff>
                <xdr:row>19</xdr:row>
                <xdr:rowOff>304800</xdr:rowOff>
              </to>
            </anchor>
          </objectPr>
        </oleObject>
      </mc:Choice>
      <mc:Fallback>
        <oleObject progId="AcroExch.Document.DC" dvAspect="DVASPECT_ICON" shapeId="35845"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2" id="{BBE796E4-2940-45D4-BC5C-154482F024F3}">
            <x14:iconSet iconSet="3Symbols2" custom="1">
              <x14:cfvo type="percent">
                <xm:f>0</xm:f>
              </x14:cfvo>
              <x14:cfvo type="num">
                <xm:f>-0.5</xm:f>
              </x14:cfvo>
              <x14:cfvo type="num">
                <xm:f>0.5</xm:f>
              </x14:cfvo>
              <x14:cfIcon iconSet="3Symbols2" iconId="0"/>
              <x14:cfIcon iconSet="3Symbols2" iconId="1"/>
              <x14:cfIcon iconSet="3Symbols2" iconId="2"/>
            </x14:iconSet>
          </x14:cfRule>
          <xm:sqref>I11</xm:sqref>
        </x14:conditionalFormatting>
        <x14:conditionalFormatting xmlns:xm="http://schemas.microsoft.com/office/excel/2006/main">
          <x14:cfRule type="iconSet" priority="104" id="{B1D90586-F778-4830-9FA8-C322923BDC4E}">
            <x14:iconSet iconSet="3Symbols2" custom="1">
              <x14:cfvo type="percent">
                <xm:f>0</xm:f>
              </x14:cfvo>
              <x14:cfvo type="num">
                <xm:f>-0.5</xm:f>
              </x14:cfvo>
              <x14:cfvo type="num">
                <xm:f>0.5</xm:f>
              </x14:cfvo>
              <x14:cfIcon iconSet="3Symbols2" iconId="0"/>
              <x14:cfIcon iconSet="3Symbols2" iconId="1"/>
              <x14:cfIcon iconSet="3Symbols2" iconId="2"/>
            </x14:iconSet>
          </x14:cfRule>
          <xm:sqref>O8:O10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'Forbrugsberegner 1'!$H$1:$H$2</xm:f>
          </x14:formula1>
          <xm:sqref>M8:M10</xm:sqref>
        </x14:dataValidation>
        <x14:dataValidation type="list" allowBlank="1" showInputMessage="1" showErrorMessage="1" prompt="Indtast kedeltype i før-situationen.">
          <x14:formula1>
            <xm:f>'Forbrugsberegner 5'!$E$95:$E$99</xm:f>
          </x14:formula1>
          <xm:sqref>G15:H15</xm:sqref>
        </x14:dataValidation>
        <x14:dataValidation type="whole" allowBlank="1" showInputMessage="1" showErrorMessage="1" error="Kedlen skal være fra perioden 1950-2020" prompt="Indtast årgang for eksisterende kedel. Årstallet kan typisk findes på kedlens mærkeplade.">
          <x14:formula1>
            <xm:f>1950</xm:f>
          </x14:formula1>
          <x14:formula2>
            <xm:f>'Forbrugsberegner 1'!C17-2</xm:f>
          </x14:formula2>
          <xm:sqref>G16:H16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A1:U39"/>
  <sheetViews>
    <sheetView topLeftCell="A4" zoomScaleNormal="100" workbookViewId="0">
      <selection activeCell="S28" sqref="S28"/>
    </sheetView>
  </sheetViews>
  <sheetFormatPr defaultColWidth="9.140625" defaultRowHeight="15" x14ac:dyDescent="0.25"/>
  <cols>
    <col min="1" max="1" width="22.42578125" style="279" customWidth="1"/>
    <col min="2" max="2" width="23.42578125" style="279" customWidth="1"/>
    <col min="3" max="3" width="9.140625" style="279" customWidth="1"/>
    <col min="4" max="4" width="10.5703125" style="279" customWidth="1"/>
    <col min="5" max="5" width="9.140625" style="279" customWidth="1"/>
    <col min="6" max="6" width="29.85546875" style="279" customWidth="1"/>
    <col min="7" max="7" width="10.7109375" style="279" customWidth="1"/>
    <col min="8" max="8" width="9.7109375" style="279" customWidth="1"/>
    <col min="9" max="9" width="7.5703125" style="279" customWidth="1"/>
    <col min="10" max="10" width="29.42578125" style="279" customWidth="1"/>
    <col min="11" max="11" width="14" style="279" customWidth="1"/>
    <col min="12" max="12" width="5.85546875" style="279" customWidth="1"/>
    <col min="13" max="13" width="4.5703125" style="279" customWidth="1"/>
    <col min="14" max="14" width="8.42578125" style="279" customWidth="1"/>
    <col min="15" max="15" width="7.140625" style="279" customWidth="1"/>
    <col min="16" max="16384" width="9.140625" style="279"/>
  </cols>
  <sheetData>
    <row r="1" spans="1:21" x14ac:dyDescent="0.25">
      <c r="A1" s="1"/>
      <c r="B1" s="140"/>
      <c r="C1" s="140"/>
      <c r="D1" s="670"/>
      <c r="E1" s="670"/>
      <c r="F1" s="536"/>
      <c r="G1" s="537" t="s">
        <v>220</v>
      </c>
      <c r="H1" s="140"/>
      <c r="I1" s="98"/>
      <c r="J1" s="274"/>
      <c r="K1" s="70"/>
      <c r="L1" s="70"/>
      <c r="M1" s="69"/>
      <c r="N1" s="99"/>
      <c r="O1" s="142"/>
      <c r="P1" s="99"/>
      <c r="Q1" s="69"/>
      <c r="R1" s="69"/>
      <c r="S1" s="140"/>
      <c r="T1" s="140"/>
      <c r="U1" s="278"/>
    </row>
    <row r="2" spans="1:21" x14ac:dyDescent="0.25">
      <c r="A2" s="2"/>
      <c r="B2" s="140"/>
      <c r="C2" s="140"/>
      <c r="D2" s="670"/>
      <c r="E2" s="670"/>
      <c r="F2" s="139" t="s">
        <v>73</v>
      </c>
      <c r="G2" s="536"/>
      <c r="H2" s="98"/>
      <c r="I2" s="98"/>
      <c r="J2" s="274"/>
      <c r="K2" s="70"/>
      <c r="L2" s="70"/>
      <c r="M2" s="71"/>
      <c r="N2" s="71"/>
      <c r="O2" s="142"/>
      <c r="P2" s="71"/>
      <c r="Q2" s="71"/>
      <c r="R2" s="71"/>
      <c r="S2" s="140"/>
      <c r="T2" s="140"/>
      <c r="U2" s="278"/>
    </row>
    <row r="3" spans="1:21" ht="18" x14ac:dyDescent="0.25">
      <c r="A3" s="3"/>
      <c r="B3" s="73" t="str">
        <f>Beskrivelse!C25</f>
        <v>Tiltag 6 - Bestemmelse af årsvirkningsgrader for kaloriferer</v>
      </c>
      <c r="C3" s="143"/>
      <c r="D3" s="70"/>
      <c r="E3" s="70"/>
      <c r="F3" s="70"/>
      <c r="G3" s="70"/>
      <c r="H3" s="70"/>
      <c r="I3" s="70"/>
      <c r="J3" s="70"/>
      <c r="K3" s="70"/>
      <c r="L3" s="70"/>
      <c r="M3" s="70"/>
      <c r="N3" s="71"/>
      <c r="O3" s="142"/>
      <c r="P3" s="71"/>
      <c r="Q3" s="71"/>
      <c r="R3" s="75"/>
      <c r="S3" s="140"/>
      <c r="T3" s="140"/>
      <c r="U3" s="278"/>
    </row>
    <row r="4" spans="1:21" x14ac:dyDescent="0.25">
      <c r="A4" s="4"/>
      <c r="B4" s="4"/>
      <c r="C4" s="4"/>
      <c r="D4" s="4"/>
      <c r="E4" s="4"/>
      <c r="F4" s="4"/>
      <c r="G4" s="4"/>
      <c r="H4" s="4"/>
      <c r="I4" s="4"/>
      <c r="J4" s="4"/>
      <c r="K4" s="4"/>
      <c r="L4" s="4"/>
      <c r="M4" s="4"/>
      <c r="N4" s="4"/>
      <c r="O4" s="4"/>
      <c r="P4" s="4"/>
      <c r="Q4" s="4"/>
      <c r="R4" s="280"/>
      <c r="S4" s="281"/>
      <c r="T4" s="281"/>
      <c r="U4" s="281"/>
    </row>
    <row r="5" spans="1:21" x14ac:dyDescent="0.25">
      <c r="A5" s="2"/>
      <c r="B5" s="5"/>
      <c r="C5" s="2"/>
      <c r="D5" s="2"/>
      <c r="E5" s="2"/>
      <c r="F5" s="2"/>
      <c r="G5" s="2"/>
      <c r="H5" s="2"/>
      <c r="I5" s="2"/>
      <c r="J5" s="2"/>
      <c r="K5" s="2"/>
      <c r="L5" s="2"/>
      <c r="M5" s="2"/>
      <c r="N5" s="2"/>
      <c r="O5" s="2"/>
      <c r="P5" s="2"/>
      <c r="Q5" s="2"/>
      <c r="R5" s="2"/>
      <c r="S5" s="278"/>
      <c r="T5" s="278"/>
      <c r="U5" s="278"/>
    </row>
    <row r="6" spans="1:21" ht="15" customHeight="1" x14ac:dyDescent="0.25">
      <c r="A6" s="2"/>
      <c r="B6" s="587" t="s">
        <v>17</v>
      </c>
      <c r="C6" s="587"/>
      <c r="D6" s="587"/>
      <c r="E6" s="587"/>
      <c r="F6" s="587"/>
      <c r="G6" s="587"/>
      <c r="H6" s="587"/>
      <c r="I6" s="587"/>
      <c r="J6" s="587"/>
      <c r="K6" s="587"/>
      <c r="L6" s="587"/>
      <c r="M6" s="587"/>
      <c r="N6" s="2"/>
      <c r="O6" s="2"/>
      <c r="P6" s="2"/>
      <c r="Q6" s="2"/>
      <c r="R6" s="2"/>
      <c r="S6" s="278"/>
      <c r="T6" s="278"/>
      <c r="U6" s="278"/>
    </row>
    <row r="7" spans="1:21" ht="15" customHeight="1" x14ac:dyDescent="0.25">
      <c r="A7" s="2"/>
      <c r="B7" s="587"/>
      <c r="C7" s="587"/>
      <c r="D7" s="587"/>
      <c r="E7" s="587"/>
      <c r="F7" s="587"/>
      <c r="G7" s="587"/>
      <c r="H7" s="587"/>
      <c r="I7" s="587"/>
      <c r="J7" s="587"/>
      <c r="K7" s="587"/>
      <c r="L7" s="587"/>
      <c r="M7" s="587"/>
      <c r="N7" s="282"/>
      <c r="O7" s="283"/>
      <c r="P7" s="283"/>
      <c r="Q7" s="2"/>
      <c r="R7" s="2"/>
      <c r="S7" s="278"/>
      <c r="T7" s="278"/>
      <c r="U7" s="278"/>
    </row>
    <row r="8" spans="1:21" x14ac:dyDescent="0.25">
      <c r="A8" s="2"/>
      <c r="B8" s="284" t="s">
        <v>18</v>
      </c>
      <c r="C8" s="671" t="s">
        <v>387</v>
      </c>
      <c r="D8" s="671"/>
      <c r="E8" s="671"/>
      <c r="F8" s="671"/>
      <c r="G8" s="671"/>
      <c r="H8" s="671"/>
      <c r="I8" s="671"/>
      <c r="J8" s="671"/>
      <c r="K8" s="671"/>
      <c r="L8" s="671"/>
      <c r="M8" s="672"/>
      <c r="N8" s="285"/>
      <c r="O8" s="137" t="s">
        <v>19</v>
      </c>
      <c r="P8" s="137">
        <f>IF(N8="",0,IF(N8=O8,1,-1))</f>
        <v>0</v>
      </c>
      <c r="Q8" s="286"/>
      <c r="R8" s="2"/>
      <c r="S8" s="278"/>
      <c r="T8" s="278"/>
      <c r="U8" s="278"/>
    </row>
    <row r="9" spans="1:21" x14ac:dyDescent="0.25">
      <c r="A9" s="2"/>
      <c r="B9" s="284" t="s">
        <v>18</v>
      </c>
      <c r="C9" s="671" t="s">
        <v>389</v>
      </c>
      <c r="D9" s="671"/>
      <c r="E9" s="671"/>
      <c r="F9" s="671"/>
      <c r="G9" s="671"/>
      <c r="H9" s="671"/>
      <c r="I9" s="671"/>
      <c r="J9" s="671"/>
      <c r="K9" s="671"/>
      <c r="L9" s="671"/>
      <c r="M9" s="672"/>
      <c r="N9" s="287"/>
      <c r="O9" s="137" t="s">
        <v>20</v>
      </c>
      <c r="P9" s="137">
        <f t="shared" ref="P9" si="0">IF(N9="",0,IF(N9=O9,1,-1))</f>
        <v>0</v>
      </c>
      <c r="Q9" s="286"/>
      <c r="R9" s="2"/>
      <c r="S9" s="278"/>
      <c r="T9" s="278"/>
      <c r="U9" s="278"/>
    </row>
    <row r="10" spans="1:21" x14ac:dyDescent="0.25">
      <c r="A10" s="2"/>
      <c r="B10" s="284" t="s">
        <v>18</v>
      </c>
      <c r="C10" s="538" t="s">
        <v>388</v>
      </c>
      <c r="D10" s="288"/>
      <c r="E10" s="288"/>
      <c r="F10" s="288"/>
      <c r="G10" s="288"/>
      <c r="H10" s="288"/>
      <c r="I10" s="288"/>
      <c r="J10" s="288"/>
      <c r="K10" s="288"/>
      <c r="L10" s="288"/>
      <c r="M10" s="289"/>
      <c r="N10" s="285"/>
      <c r="O10" s="137" t="s">
        <v>19</v>
      </c>
      <c r="P10" s="137">
        <f>IF(N10="",0,IF(N10=O10,1,-1))</f>
        <v>0</v>
      </c>
      <c r="Q10" s="286"/>
      <c r="R10" s="2"/>
      <c r="S10" s="278"/>
      <c r="T10" s="278"/>
      <c r="U10" s="278"/>
    </row>
    <row r="11" spans="1:21" x14ac:dyDescent="0.25">
      <c r="A11" s="2"/>
      <c r="B11" s="2"/>
      <c r="C11" s="2"/>
      <c r="D11" s="2"/>
      <c r="E11" s="2"/>
      <c r="F11" s="2"/>
      <c r="G11" s="2"/>
      <c r="H11" s="2"/>
      <c r="I11" s="2"/>
      <c r="J11" s="2"/>
      <c r="K11" s="2"/>
      <c r="L11" s="2"/>
      <c r="M11" s="2"/>
      <c r="N11" s="2"/>
      <c r="O11" s="2"/>
      <c r="P11" s="2"/>
      <c r="Q11" s="2"/>
      <c r="R11" s="2"/>
      <c r="S11" s="278"/>
      <c r="T11" s="278"/>
      <c r="U11" s="278"/>
    </row>
    <row r="12" spans="1:21" ht="24.75" x14ac:dyDescent="0.25">
      <c r="A12" s="2"/>
      <c r="B12" s="150" t="str">
        <f>IF(I12=0,"Spørgsmål om afgrænsning er ikke besvaret",IF(I12=1,"Projektet er omfattet af standardløsningen","Kalorifererne er IKKE omfattet af standardløsningen"))</f>
        <v>Spørgsmål om afgrænsning er ikke besvaret</v>
      </c>
      <c r="C12" s="290"/>
      <c r="D12" s="290"/>
      <c r="E12" s="290"/>
      <c r="F12" s="290"/>
      <c r="G12" s="290"/>
      <c r="H12" s="290"/>
      <c r="I12" s="291">
        <f>MIN(P8:P10)</f>
        <v>0</v>
      </c>
      <c r="J12" s="292"/>
      <c r="K12" s="2"/>
      <c r="L12" s="2"/>
      <c r="M12" s="2"/>
      <c r="N12" s="2"/>
      <c r="O12" s="2"/>
      <c r="P12" s="2"/>
      <c r="Q12" s="2"/>
      <c r="R12" s="2"/>
      <c r="S12" s="278"/>
      <c r="T12" s="278"/>
      <c r="U12" s="278"/>
    </row>
    <row r="13" spans="1:21" ht="22.5" x14ac:dyDescent="0.3">
      <c r="A13" s="2"/>
      <c r="B13" s="83"/>
      <c r="C13" s="6"/>
      <c r="D13" s="6"/>
      <c r="E13" s="6"/>
      <c r="F13" s="6"/>
      <c r="G13" s="6"/>
      <c r="H13" s="6"/>
      <c r="I13" s="6"/>
      <c r="J13" s="6"/>
      <c r="K13" s="84"/>
      <c r="L13" s="84"/>
      <c r="M13" s="6"/>
      <c r="N13" s="2"/>
      <c r="O13" s="2"/>
      <c r="P13" s="2"/>
      <c r="Q13" s="2"/>
      <c r="R13" s="2"/>
      <c r="S13" s="278"/>
      <c r="T13" s="278"/>
      <c r="U13" s="278"/>
    </row>
    <row r="14" spans="1:21" ht="18" x14ac:dyDescent="0.25">
      <c r="A14" s="6"/>
      <c r="B14" s="673" t="s">
        <v>21</v>
      </c>
      <c r="C14" s="673"/>
      <c r="D14" s="673"/>
      <c r="E14" s="673"/>
      <c r="F14" s="673"/>
      <c r="G14" s="673"/>
      <c r="H14" s="673"/>
      <c r="I14" s="673"/>
      <c r="J14" s="673"/>
      <c r="K14" s="673"/>
      <c r="L14" s="323"/>
      <c r="M14" s="323"/>
      <c r="N14" s="540" t="s">
        <v>390</v>
      </c>
      <c r="O14" s="278"/>
      <c r="P14" s="278"/>
      <c r="Q14" s="278"/>
      <c r="R14" s="3"/>
      <c r="S14" s="278"/>
      <c r="T14" s="278"/>
      <c r="U14" s="278"/>
    </row>
    <row r="15" spans="1:21" ht="24.75" customHeight="1" x14ac:dyDescent="0.25">
      <c r="A15" s="6"/>
      <c r="B15" s="325"/>
      <c r="C15" s="674" t="s">
        <v>222</v>
      </c>
      <c r="D15" s="674"/>
      <c r="E15" s="674"/>
      <c r="F15" s="674"/>
      <c r="G15" s="675"/>
      <c r="H15" s="675"/>
      <c r="I15" s="294"/>
      <c r="J15" s="294"/>
      <c r="K15" s="295"/>
      <c r="L15" s="295"/>
      <c r="M15" s="295"/>
      <c r="N15" s="278"/>
      <c r="O15" s="278"/>
      <c r="P15" s="278"/>
      <c r="Q15" s="2"/>
      <c r="R15" s="2"/>
      <c r="S15" s="296"/>
      <c r="T15" s="293"/>
      <c r="U15" s="278"/>
    </row>
    <row r="16" spans="1:21" ht="24.75" customHeight="1" x14ac:dyDescent="0.25">
      <c r="A16" s="6"/>
      <c r="B16" s="325"/>
      <c r="C16" s="676"/>
      <c r="D16" s="676"/>
      <c r="E16" s="676"/>
      <c r="F16" s="676"/>
      <c r="G16" s="297"/>
      <c r="H16" s="297"/>
      <c r="I16" s="294"/>
      <c r="J16" s="294"/>
      <c r="K16" s="295"/>
      <c r="L16" s="295"/>
      <c r="M16" s="295"/>
      <c r="N16" s="278"/>
      <c r="O16" s="278"/>
      <c r="P16" s="278"/>
      <c r="Q16" s="2"/>
      <c r="R16" s="2"/>
      <c r="S16" s="296"/>
      <c r="T16" s="293"/>
      <c r="U16" s="278"/>
    </row>
    <row r="17" spans="1:21" ht="18.75" x14ac:dyDescent="0.3">
      <c r="A17" s="6"/>
      <c r="B17" s="295"/>
      <c r="C17" s="667" t="str">
        <f>IF($G$15&gt;-1,"Kalorifer 1","")</f>
        <v>Kalorifer 1</v>
      </c>
      <c r="D17" s="667"/>
      <c r="E17" s="298"/>
      <c r="F17" s="295"/>
      <c r="G17" s="667" t="str">
        <f>IF($G$15&gt;1,"Kalorifer 2","")</f>
        <v/>
      </c>
      <c r="H17" s="667"/>
      <c r="I17" s="299"/>
      <c r="J17" s="295"/>
      <c r="K17" s="668" t="str">
        <f>IF($G$15&gt;2,"Kalorifer 3","")</f>
        <v/>
      </c>
      <c r="L17" s="668"/>
      <c r="M17" s="295"/>
      <c r="N17" s="278"/>
      <c r="O17" s="300"/>
      <c r="P17" s="300"/>
      <c r="Q17" s="300"/>
      <c r="R17" s="300"/>
      <c r="S17" s="296"/>
      <c r="T17" s="293"/>
      <c r="U17" s="278"/>
    </row>
    <row r="18" spans="1:21" ht="18.75" x14ac:dyDescent="0.3">
      <c r="A18" s="6"/>
      <c r="B18" s="301" t="s">
        <v>384</v>
      </c>
      <c r="C18" s="669"/>
      <c r="D18" s="669"/>
      <c r="E18" s="298"/>
      <c r="F18" s="301" t="s">
        <v>384</v>
      </c>
      <c r="G18" s="662"/>
      <c r="H18" s="662"/>
      <c r="I18" s="299"/>
      <c r="J18" s="301" t="s">
        <v>384</v>
      </c>
      <c r="K18" s="662"/>
      <c r="L18" s="662"/>
      <c r="M18" s="295"/>
      <c r="N18" s="278"/>
      <c r="O18" s="300"/>
      <c r="P18" s="300"/>
      <c r="Q18" s="300"/>
      <c r="R18" s="300"/>
      <c r="S18" s="296"/>
      <c r="T18" s="293"/>
      <c r="U18" s="278"/>
    </row>
    <row r="19" spans="1:21" ht="18.75" x14ac:dyDescent="0.3">
      <c r="A19" s="6"/>
      <c r="B19" s="302" t="str">
        <f>IF($G$15&gt;-1,"3. Årgang [åååå]","")</f>
        <v>3. Årgang [åååå]</v>
      </c>
      <c r="C19" s="665"/>
      <c r="D19" s="665"/>
      <c r="E19" s="298"/>
      <c r="F19" s="302" t="str">
        <f>IF($G$15&gt;1,"3. Årgang [åååå]","")</f>
        <v/>
      </c>
      <c r="G19" s="665"/>
      <c r="H19" s="665"/>
      <c r="I19" s="294"/>
      <c r="J19" s="302" t="str">
        <f>IF($G$15&gt;2,"3. Årgang [åååå]","")</f>
        <v/>
      </c>
      <c r="K19" s="665"/>
      <c r="L19" s="665"/>
      <c r="M19" s="295"/>
      <c r="N19" s="278"/>
      <c r="O19" s="300"/>
      <c r="P19" s="300"/>
      <c r="Q19" s="300"/>
      <c r="R19" s="300"/>
      <c r="S19" s="296"/>
      <c r="T19" s="293"/>
      <c r="U19" s="278"/>
    </row>
    <row r="20" spans="1:21" ht="18.75" x14ac:dyDescent="0.3">
      <c r="A20" s="6"/>
      <c r="B20" s="302" t="str">
        <f>IF($G$15&gt;-1,"4. Varmeydelse [kW]","")</f>
        <v>4. Varmeydelse [kW]</v>
      </c>
      <c r="C20" s="663"/>
      <c r="D20" s="663"/>
      <c r="E20" s="298"/>
      <c r="F20" s="302" t="str">
        <f>IF($G$15&gt;1,"4. Varmeydelse [kW]","")</f>
        <v/>
      </c>
      <c r="G20" s="664"/>
      <c r="H20" s="664"/>
      <c r="I20" s="294"/>
      <c r="J20" s="302" t="str">
        <f>IF($G$15&gt;2,"4. Varmeydelse [kW]","")</f>
        <v/>
      </c>
      <c r="K20" s="665"/>
      <c r="L20" s="665"/>
      <c r="M20" s="295"/>
      <c r="N20" s="278"/>
      <c r="O20" s="300"/>
      <c r="P20" s="300"/>
      <c r="Q20" s="300"/>
      <c r="R20" s="300"/>
      <c r="S20" s="296"/>
      <c r="T20" s="293"/>
      <c r="U20" s="278"/>
    </row>
    <row r="21" spans="1:21" ht="18.75" x14ac:dyDescent="0.3">
      <c r="A21" s="6"/>
      <c r="B21" s="295"/>
      <c r="C21" s="295"/>
      <c r="D21" s="295"/>
      <c r="E21" s="295"/>
      <c r="F21" s="295"/>
      <c r="G21" s="295"/>
      <c r="H21" s="295"/>
      <c r="I21" s="295"/>
      <c r="J21" s="295"/>
      <c r="K21" s="295"/>
      <c r="L21" s="295"/>
      <c r="M21" s="295"/>
      <c r="N21" s="278"/>
      <c r="O21" s="300"/>
      <c r="P21" s="300"/>
      <c r="Q21" s="300"/>
      <c r="R21" s="300"/>
      <c r="S21" s="296"/>
      <c r="T21" s="293"/>
      <c r="U21" s="278"/>
    </row>
    <row r="22" spans="1:21" ht="18.75" x14ac:dyDescent="0.3">
      <c r="A22" s="6"/>
      <c r="B22" s="666" t="s">
        <v>223</v>
      </c>
      <c r="C22" s="666"/>
      <c r="D22" s="666"/>
      <c r="E22" s="666"/>
      <c r="F22" s="666"/>
      <c r="G22" s="666"/>
      <c r="H22" s="666"/>
      <c r="I22" s="666"/>
      <c r="J22" s="666"/>
      <c r="K22" s="666"/>
      <c r="L22" s="666"/>
      <c r="M22" s="323"/>
      <c r="N22" s="278"/>
      <c r="O22" s="300"/>
      <c r="P22" s="300"/>
      <c r="Q22" s="300"/>
      <c r="R22" s="300"/>
      <c r="S22" s="296"/>
      <c r="T22" s="293"/>
      <c r="U22" s="278"/>
    </row>
    <row r="23" spans="1:21" ht="18.75" x14ac:dyDescent="0.3">
      <c r="A23" s="6"/>
      <c r="B23" s="295"/>
      <c r="C23" s="667" t="str">
        <f>IF($G$15&gt;-1,"Kalorifer 1","")</f>
        <v>Kalorifer 1</v>
      </c>
      <c r="D23" s="667"/>
      <c r="E23" s="295"/>
      <c r="F23" s="295"/>
      <c r="G23" s="667" t="str">
        <f>IF($G$15&gt;1,"Kalorifer 2","")</f>
        <v/>
      </c>
      <c r="H23" s="667"/>
      <c r="I23" s="295"/>
      <c r="J23" s="295"/>
      <c r="K23" s="668" t="str">
        <f>IF($G$15&gt;2,"Kalorifer 3","")</f>
        <v/>
      </c>
      <c r="L23" s="668"/>
      <c r="M23" s="295"/>
      <c r="N23" s="278"/>
      <c r="O23" s="300"/>
      <c r="P23" s="300"/>
      <c r="Q23" s="300"/>
      <c r="R23" s="300"/>
      <c r="S23" s="296"/>
      <c r="T23" s="293"/>
      <c r="U23" s="278"/>
    </row>
    <row r="24" spans="1:21" ht="33.75" x14ac:dyDescent="0.3">
      <c r="A24" s="326"/>
      <c r="B24" s="305" t="str">
        <f>IF($G$15&gt;-1,"Årsvirkningsgrad ved udskiftningstidspunktet [%]","")</f>
        <v>Årsvirkningsgrad ved udskiftningstidspunktet [%]</v>
      </c>
      <c r="C24" s="660" t="str">
        <f>IF(OR(C20="",C19="",C18=""),"",Kalorifere!F8)</f>
        <v/>
      </c>
      <c r="D24" s="660"/>
      <c r="E24" s="304"/>
      <c r="F24" s="305" t="str">
        <f>IF($G$15&gt;1,"Årsvirkningsgrad ved udskiftningstidspunktet [%]","")</f>
        <v/>
      </c>
      <c r="G24" s="661" t="str">
        <f>IF(OR(G20="",G19="",G18=""),"",Kalorifere!F9)</f>
        <v/>
      </c>
      <c r="H24" s="661"/>
      <c r="I24" s="295"/>
      <c r="J24" s="305" t="str">
        <f>IF($G$15&gt;2,"Årsvirkningsgrad ved udskiftningstidspunktet [%]","")</f>
        <v/>
      </c>
      <c r="K24" s="661" t="str">
        <f>IF(OR(K20="",K19="",K18=""),"",Kalorifere!F10)</f>
        <v/>
      </c>
      <c r="L24" s="661"/>
      <c r="M24" s="295"/>
      <c r="N24" s="300"/>
      <c r="O24" s="300"/>
      <c r="P24" s="300"/>
      <c r="Q24" s="300"/>
      <c r="R24" s="300"/>
      <c r="S24" s="296"/>
      <c r="T24" s="293"/>
      <c r="U24" s="278"/>
    </row>
    <row r="25" spans="1:21" ht="18.75" x14ac:dyDescent="0.3">
      <c r="A25" s="326"/>
      <c r="B25" s="324"/>
      <c r="C25" s="662"/>
      <c r="D25" s="662"/>
      <c r="E25" s="299"/>
      <c r="F25" s="324"/>
      <c r="G25" s="662"/>
      <c r="H25" s="662"/>
      <c r="I25" s="299"/>
      <c r="J25" s="324"/>
      <c r="K25" s="662"/>
      <c r="L25" s="662"/>
      <c r="M25" s="299"/>
      <c r="N25" s="300"/>
      <c r="O25" s="299"/>
      <c r="P25" s="299"/>
      <c r="Q25" s="299"/>
      <c r="R25" s="299"/>
      <c r="S25" s="293"/>
      <c r="T25" s="293"/>
      <c r="U25" s="278"/>
    </row>
    <row r="26" spans="1:21" ht="18.75" x14ac:dyDescent="0.3">
      <c r="A26" s="303"/>
      <c r="B26" s="306"/>
      <c r="C26" s="657"/>
      <c r="D26" s="657"/>
      <c r="E26" s="300"/>
      <c r="F26" s="306"/>
      <c r="G26" s="657"/>
      <c r="H26" s="657"/>
      <c r="I26" s="307"/>
      <c r="J26" s="306"/>
      <c r="K26" s="657"/>
      <c r="L26" s="657"/>
      <c r="M26" s="300"/>
      <c r="N26" s="300"/>
      <c r="O26" s="308" t="s">
        <v>27</v>
      </c>
      <c r="P26" s="300"/>
      <c r="Q26" s="300"/>
      <c r="R26" s="300"/>
      <c r="S26" s="278"/>
      <c r="T26" s="278"/>
      <c r="U26" s="278"/>
    </row>
    <row r="27" spans="1:21" ht="18.75" x14ac:dyDescent="0.3">
      <c r="A27" s="309"/>
      <c r="B27" s="310"/>
      <c r="C27" s="656"/>
      <c r="D27" s="656"/>
      <c r="E27" s="311"/>
      <c r="F27" s="310"/>
      <c r="G27" s="656"/>
      <c r="H27" s="656"/>
      <c r="I27" s="312"/>
      <c r="J27" s="310"/>
      <c r="K27" s="656"/>
      <c r="L27" s="656"/>
      <c r="M27" s="311"/>
      <c r="N27" s="311"/>
      <c r="O27" s="311"/>
      <c r="P27" s="311"/>
      <c r="Q27" s="311"/>
      <c r="R27" s="311"/>
    </row>
    <row r="28" spans="1:21" ht="18.75" x14ac:dyDescent="0.3">
      <c r="A28" s="309"/>
      <c r="B28" s="310"/>
      <c r="C28" s="656"/>
      <c r="D28" s="656"/>
      <c r="E28" s="311"/>
      <c r="F28" s="310"/>
      <c r="G28" s="656"/>
      <c r="H28" s="656"/>
      <c r="I28" s="312"/>
      <c r="J28" s="310"/>
      <c r="K28" s="656"/>
      <c r="L28" s="656"/>
      <c r="M28" s="311"/>
      <c r="N28" s="311"/>
      <c r="O28" s="311"/>
      <c r="P28" s="311"/>
      <c r="Q28" s="311"/>
      <c r="R28" s="311"/>
    </row>
    <row r="29" spans="1:21" ht="18.75" x14ac:dyDescent="0.3">
      <c r="A29" s="309"/>
      <c r="B29" s="310"/>
      <c r="C29" s="313"/>
      <c r="D29" s="313"/>
      <c r="E29" s="311"/>
      <c r="F29" s="310"/>
      <c r="G29" s="313"/>
      <c r="H29" s="313"/>
      <c r="I29" s="312"/>
      <c r="J29" s="310"/>
      <c r="K29" s="313"/>
      <c r="L29" s="313"/>
      <c r="M29" s="311"/>
      <c r="N29" s="311"/>
      <c r="O29" s="311"/>
      <c r="P29" s="311"/>
      <c r="Q29" s="311"/>
      <c r="R29" s="311"/>
    </row>
    <row r="30" spans="1:21" ht="18.75" x14ac:dyDescent="0.3">
      <c r="A30" s="309"/>
      <c r="B30" s="314"/>
      <c r="C30" s="658"/>
      <c r="D30" s="659"/>
      <c r="E30" s="311"/>
      <c r="F30" s="314"/>
      <c r="G30" s="658"/>
      <c r="H30" s="659"/>
      <c r="J30" s="315"/>
      <c r="K30" s="658"/>
      <c r="L30" s="659"/>
      <c r="M30" s="311"/>
      <c r="N30" s="311"/>
      <c r="O30" s="311"/>
      <c r="P30" s="311"/>
      <c r="Q30" s="311"/>
      <c r="R30" s="311"/>
    </row>
    <row r="31" spans="1:21" ht="18.75" x14ac:dyDescent="0.3">
      <c r="A31" s="309"/>
      <c r="B31" s="316"/>
      <c r="C31" s="655"/>
      <c r="D31" s="655"/>
      <c r="E31" s="311"/>
      <c r="J31" s="309"/>
      <c r="N31" s="311"/>
      <c r="O31" s="311"/>
      <c r="P31" s="311"/>
      <c r="Q31" s="311"/>
      <c r="R31" s="311"/>
    </row>
    <row r="32" spans="1:21" ht="18.75" x14ac:dyDescent="0.3">
      <c r="A32" s="317"/>
      <c r="I32" s="318"/>
      <c r="J32" s="309"/>
      <c r="O32" s="311"/>
      <c r="P32" s="311"/>
      <c r="Q32" s="311"/>
      <c r="R32" s="311"/>
    </row>
    <row r="33" spans="1:18" ht="18.75" x14ac:dyDescent="0.3">
      <c r="A33" s="317"/>
      <c r="I33" s="319"/>
      <c r="J33" s="309"/>
      <c r="O33" s="311"/>
      <c r="P33" s="311"/>
      <c r="Q33" s="311"/>
      <c r="R33" s="311"/>
    </row>
    <row r="34" spans="1:18" ht="18.75" x14ac:dyDescent="0.3">
      <c r="A34" s="317"/>
      <c r="I34" s="312"/>
      <c r="J34" s="309"/>
      <c r="O34" s="311"/>
      <c r="P34" s="311"/>
      <c r="Q34" s="311"/>
      <c r="R34" s="311"/>
    </row>
    <row r="35" spans="1:18" ht="18.75" x14ac:dyDescent="0.3">
      <c r="A35" s="317"/>
      <c r="I35" s="312"/>
      <c r="J35" s="309"/>
      <c r="O35" s="311"/>
      <c r="P35" s="311"/>
      <c r="Q35" s="311"/>
      <c r="R35" s="311"/>
    </row>
    <row r="36" spans="1:18" ht="18.75" x14ac:dyDescent="0.3">
      <c r="A36" s="317"/>
      <c r="J36" s="309"/>
      <c r="O36" s="311"/>
      <c r="P36" s="311"/>
      <c r="Q36" s="311"/>
      <c r="R36" s="311"/>
    </row>
    <row r="37" spans="1:18" ht="18.75" x14ac:dyDescent="0.3">
      <c r="A37" s="317"/>
      <c r="B37" s="317"/>
      <c r="C37" s="317"/>
      <c r="D37" s="317"/>
      <c r="E37" s="309"/>
      <c r="Q37" s="320"/>
      <c r="R37" s="320"/>
    </row>
    <row r="38" spans="1:18" ht="18.75" x14ac:dyDescent="0.3">
      <c r="A38" s="317"/>
      <c r="B38" s="317"/>
      <c r="C38" s="317"/>
      <c r="D38" s="317"/>
      <c r="E38" s="309"/>
      <c r="F38" s="309"/>
      <c r="G38" s="309"/>
      <c r="H38" s="309"/>
      <c r="I38" s="309"/>
      <c r="J38" s="309"/>
      <c r="Q38" s="320"/>
      <c r="R38" s="321"/>
    </row>
    <row r="39" spans="1:18" x14ac:dyDescent="0.25">
      <c r="A39" s="317"/>
      <c r="B39" s="317"/>
      <c r="C39" s="317"/>
      <c r="D39" s="317"/>
      <c r="E39" s="317"/>
      <c r="F39" s="317"/>
      <c r="G39" s="317"/>
      <c r="H39" s="317"/>
      <c r="I39" s="317"/>
      <c r="J39" s="320"/>
      <c r="K39" s="320"/>
      <c r="L39" s="320"/>
      <c r="M39" s="320"/>
      <c r="N39" s="320"/>
      <c r="O39" s="320"/>
      <c r="P39" s="320"/>
      <c r="Q39" s="320"/>
      <c r="R39" s="320"/>
    </row>
  </sheetData>
  <sheetProtection algorithmName="SHA-512" hashValue="t8kGjwvhuk13FeassonBc5DwXBt8Qy8QsP/kQkxwD0bUWdyp5UPGLNTFfiw28C6Dik1utbXrN8wcziAdB+LL1g==" saltValue="wcI3oUsBfbCkZnjeqRg9Ug==" spinCount="100000" sheet="1"/>
  <mergeCells count="44">
    <mergeCell ref="K17:L17"/>
    <mergeCell ref="D1:E2"/>
    <mergeCell ref="C8:M8"/>
    <mergeCell ref="C9:M9"/>
    <mergeCell ref="B14:K14"/>
    <mergeCell ref="C15:F15"/>
    <mergeCell ref="G15:H15"/>
    <mergeCell ref="C16:F16"/>
    <mergeCell ref="C17:D17"/>
    <mergeCell ref="G17:H17"/>
    <mergeCell ref="B6:L7"/>
    <mergeCell ref="M6:M7"/>
    <mergeCell ref="C18:D18"/>
    <mergeCell ref="G18:H18"/>
    <mergeCell ref="K18:L18"/>
    <mergeCell ref="C19:D19"/>
    <mergeCell ref="G19:H19"/>
    <mergeCell ref="K19:L19"/>
    <mergeCell ref="C20:D20"/>
    <mergeCell ref="G20:H20"/>
    <mergeCell ref="K20:L20"/>
    <mergeCell ref="B22:L22"/>
    <mergeCell ref="C23:D23"/>
    <mergeCell ref="G23:H23"/>
    <mergeCell ref="K23:L23"/>
    <mergeCell ref="C24:D24"/>
    <mergeCell ref="G24:H24"/>
    <mergeCell ref="K24:L24"/>
    <mergeCell ref="C25:D25"/>
    <mergeCell ref="G25:H25"/>
    <mergeCell ref="K25:L25"/>
    <mergeCell ref="C26:D26"/>
    <mergeCell ref="G26:H26"/>
    <mergeCell ref="K26:L26"/>
    <mergeCell ref="C30:D30"/>
    <mergeCell ref="G30:H30"/>
    <mergeCell ref="K30:L30"/>
    <mergeCell ref="C31:D31"/>
    <mergeCell ref="C27:D27"/>
    <mergeCell ref="G27:H27"/>
    <mergeCell ref="K27:L27"/>
    <mergeCell ref="C28:D28"/>
    <mergeCell ref="G28:H28"/>
    <mergeCell ref="K28:L28"/>
  </mergeCells>
  <conditionalFormatting sqref="K13:L13">
    <cfRule type="iconSet" priority="15">
      <iconSet iconSet="3Symbols2">
        <cfvo type="percent" val="0"/>
        <cfvo type="percent" val="33"/>
        <cfvo type="percent" val="67"/>
      </iconSet>
    </cfRule>
  </conditionalFormatting>
  <conditionalFormatting sqref="C18:D18 C20:D20">
    <cfRule type="expression" dxfId="9" priority="13">
      <formula>$G$15&gt;-1</formula>
    </cfRule>
  </conditionalFormatting>
  <conditionalFormatting sqref="G18:H18 G20:H20">
    <cfRule type="expression" dxfId="8" priority="12">
      <formula>$G$15&gt;1</formula>
    </cfRule>
  </conditionalFormatting>
  <conditionalFormatting sqref="K18:L18">
    <cfRule type="expression" dxfId="7" priority="11">
      <formula>$G$15&gt;2</formula>
    </cfRule>
  </conditionalFormatting>
  <conditionalFormatting sqref="K24:L24">
    <cfRule type="expression" dxfId="6" priority="10">
      <formula>$G$15&gt;2</formula>
    </cfRule>
  </conditionalFormatting>
  <conditionalFormatting sqref="G24:H24">
    <cfRule type="expression" dxfId="5" priority="9">
      <formula>$G$15&gt;1</formula>
    </cfRule>
  </conditionalFormatting>
  <conditionalFormatting sqref="C24:D24">
    <cfRule type="expression" dxfId="4" priority="8">
      <formula>$G$15&gt;-1</formula>
    </cfRule>
  </conditionalFormatting>
  <conditionalFormatting sqref="G19:H19">
    <cfRule type="expression" dxfId="3" priority="3">
      <formula>$G$15&gt;1</formula>
    </cfRule>
  </conditionalFormatting>
  <conditionalFormatting sqref="C19:D19">
    <cfRule type="expression" dxfId="2" priority="4">
      <formula>$G$15&gt;-1</formula>
    </cfRule>
  </conditionalFormatting>
  <conditionalFormatting sqref="K19:L19">
    <cfRule type="expression" dxfId="1" priority="2">
      <formula>$G$15&gt;2</formula>
    </cfRule>
  </conditionalFormatting>
  <conditionalFormatting sqref="K20:L20">
    <cfRule type="expression" dxfId="0" priority="1">
      <formula>$G$15&gt;2</formula>
    </cfRule>
  </conditionalFormatting>
  <dataValidations xWindow="726" yWindow="658" count="5">
    <dataValidation allowBlank="1" showErrorMessage="1" prompt="Indtast varmeydelsen på kedlen. Varmeydelsen kan typisk findes på datablad eller mærkeplade på kedlen" sqref="G16:H16"/>
    <dataValidation type="whole" allowBlank="1" showInputMessage="1" showErrorMessage="1" prompt="Indtast kaloriferens maksimale varmeydelse._x000a_Varmeydelsen kan ikke overstige 500 kW." sqref="K20:L20">
      <formula1>0</formula1>
      <formula2>500</formula2>
    </dataValidation>
    <dataValidation type="whole" allowBlank="1" showInputMessage="1" showErrorMessage="1" error="Der kan maksimalt indtastes 3 kaloriferer per Excel-ark._x000a_Hvis der ønskes at berenge på flere end 3, bedes dettes gøres i seperate Excel-ark." prompt="Indtast antal kaloriferer der ønskes at bestemme årsvirkningsgrad ved udskiftningstidspunktet på." sqref="G15:H15">
      <formula1>0</formula1>
      <formula2>3</formula2>
    </dataValidation>
    <dataValidation type="whole" allowBlank="1" showInputMessage="1" showErrorMessage="1" prompt="Indtast kaloriferens maksimale varmeydelse._x000a_Varmeydelsen kan ikke overstige 500 kW." sqref="G20:H20">
      <formula1>0</formula1>
      <formula2>500</formula2>
    </dataValidation>
    <dataValidation type="whole" allowBlank="1" showInputMessage="1" showErrorMessage="1" prompt="Indtast kaloriferens maksimale varmeydelse._x000a_Varmeydelsen kan ikke overstige 500 kW." sqref="C20:D20">
      <formula1>0</formula1>
      <formula2>500</formula2>
    </dataValidation>
  </dataValidations>
  <hyperlinks>
    <hyperlink ref="O26" location="Energisparetiltag!A1" display="Energisparetiltag"/>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36868" r:id="rId4">
          <objectPr defaultSize="0" autoPict="0" r:id="rId5">
            <anchor moveWithCells="1">
              <from>
                <xdr:col>18</xdr:col>
                <xdr:colOff>161925</xdr:colOff>
                <xdr:row>22</xdr:row>
                <xdr:rowOff>152400</xdr:rowOff>
              </from>
              <to>
                <xdr:col>19</xdr:col>
                <xdr:colOff>514350</xdr:colOff>
                <xdr:row>25</xdr:row>
                <xdr:rowOff>0</xdr:rowOff>
              </to>
            </anchor>
          </objectPr>
        </oleObject>
      </mc:Choice>
      <mc:Fallback>
        <oleObject progId="AcroExch.Document.DC" dvAspect="DVASPECT_ICON" shapeId="36868"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14" id="{FBFB67BC-999F-4BFB-B271-E524665A4165}">
            <x14:iconSet iconSet="3Symbols2" custom="1">
              <x14:cfvo type="percent">
                <xm:f>0</xm:f>
              </x14:cfvo>
              <x14:cfvo type="num">
                <xm:f>-0.5</xm:f>
              </x14:cfvo>
              <x14:cfvo type="num">
                <xm:f>0.5</xm:f>
              </x14:cfvo>
              <x14:cfIcon iconSet="3Symbols2" iconId="0"/>
              <x14:cfIcon iconSet="3Symbols2" iconId="1"/>
              <x14:cfIcon iconSet="3Symbols2" iconId="2"/>
            </x14:iconSet>
          </x14:cfRule>
          <xm:sqref>I12:J12</xm:sqref>
        </x14:conditionalFormatting>
        <x14:conditionalFormatting xmlns:xm="http://schemas.microsoft.com/office/excel/2006/main">
          <x14:cfRule type="iconSet" priority="16" id="{5B6362FE-5298-4035-86BC-DD69209C716D}">
            <x14:iconSet iconSet="3Symbols2" custom="1">
              <x14:cfvo type="percent">
                <xm:f>0</xm:f>
              </x14:cfvo>
              <x14:cfvo type="num">
                <xm:f>-0.5</xm:f>
              </x14:cfvo>
              <x14:cfvo type="num">
                <xm:f>0.5</xm:f>
              </x14:cfvo>
              <x14:cfIcon iconSet="3Symbols2" iconId="0"/>
              <x14:cfIcon iconSet="3Symbols2" iconId="1"/>
              <x14:cfIcon iconSet="3Symbols2" iconId="2"/>
            </x14:iconSet>
          </x14:cfRule>
          <xm:sqref>P8:P10</xm:sqref>
        </x14:conditionalFormatting>
      </x14:conditionalFormattings>
    </ext>
    <ext xmlns:x14="http://schemas.microsoft.com/office/spreadsheetml/2009/9/main" uri="{CCE6A557-97BC-4b89-ADB6-D9C93CAAB3DF}">
      <x14:dataValidations xmlns:xm="http://schemas.microsoft.com/office/excel/2006/main" xWindow="726" yWindow="658" count="7">
        <x14:dataValidation type="list" allowBlank="1" showInputMessage="1" showErrorMessage="1" prompt="Vælg om der udskiftes en gas- eller oliekalorifer._x000a_">
          <x14:formula1>
            <xm:f>Kalorifere!$B$31:$B$32</xm:f>
          </x14:formula1>
          <xm:sqref>G18:H18 K18:L18</xm:sqref>
        </x14:dataValidation>
        <x14:dataValidation type="list" allowBlank="1" showInputMessage="1" showErrorMessage="1">
          <x14:formula1>
            <xm:f>Kalorifere!$T$2:$T$3</xm:f>
          </x14:formula1>
          <xm:sqref>N8:N10</xm:sqref>
        </x14:dataValidation>
        <x14:dataValidation type="list" allowBlank="1" showInputMessage="1" showErrorMessage="1">
          <x14:formula1>
            <xm:f>'F:\EE\- 4 - Team Erhvervspulje\01 - Personmapper\NJBL\[Standardloesninger_for_varmeforsyning_13-12-2021.xlsx]Før-situation'!#REF!</xm:f>
          </x14:formula1>
          <xm:sqref>I33</xm:sqref>
        </x14:dataValidation>
        <x14:dataValidation type="list" allowBlank="1" showInputMessage="1" showErrorMessage="1" prompt="Vælg om der udskiftes en gas- eller oliekalorifer._x000a__x000a__x000a__x000a__x000a__x000a__x000a_">
          <x14:formula1>
            <xm:f>Kalorifere!$B$31:$B$32</xm:f>
          </x14:formula1>
          <xm:sqref>C18:D18</xm:sqref>
        </x14:dataValidation>
        <x14:dataValidation type="whole" allowBlank="1" showInputMessage="1" showErrorMessage="1" prompt="Indtast årgang af kaloriferen, jf. mærkeplade og/eller datablad._x000a_Kaloriferen kan ikke være fra før år 1950.">
          <x14:formula1>
            <xm:f>1950</xm:f>
          </x14:formula1>
          <x14:formula2>
            <xm:f>Kalorifere!C28-2</xm:f>
          </x14:formula2>
          <xm:sqref>C19:D19</xm:sqref>
        </x14:dataValidation>
        <x14:dataValidation type="whole" allowBlank="1" showInputMessage="1" showErrorMessage="1" prompt="Indtast årgang af kaloriferen, jf. mærkeplade og/eller datablad._x000a_Kaloriferen kan ikke være fra før år 1950.">
          <x14:formula1>
            <xm:f>1950</xm:f>
          </x14:formula1>
          <x14:formula2>
            <xm:f>Kalorifere!C28-2</xm:f>
          </x14:formula2>
          <xm:sqref>G19:H19</xm:sqref>
        </x14:dataValidation>
        <x14:dataValidation type="whole" allowBlank="1" showInputMessage="1" showErrorMessage="1" prompt="Indtast årgang af kaloriferen, jf. mærkeplade og/eller datablad._x000a_Kaloriferen kan ikke være fra før år 1950.">
          <x14:formula1>
            <xm:f>1950</xm:f>
          </x14:formula1>
          <x14:formula2>
            <xm:f>Kalorifere!C28-2</xm:f>
          </x14:formula2>
          <xm:sqref>K19:L19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38"/>
  <sheetViews>
    <sheetView workbookViewId="0">
      <selection sqref="A1:C1"/>
    </sheetView>
  </sheetViews>
  <sheetFormatPr defaultRowHeight="15" x14ac:dyDescent="0.25"/>
  <cols>
    <col min="1" max="1" width="29.5703125" customWidth="1"/>
    <col min="2" max="3" width="13.85546875" customWidth="1"/>
    <col min="4" max="4" width="11.140625" customWidth="1"/>
    <col min="7" max="7" width="14.85546875" customWidth="1"/>
    <col min="8" max="8" width="13.85546875" customWidth="1"/>
  </cols>
  <sheetData>
    <row r="1" spans="1:13" ht="18.75" x14ac:dyDescent="0.3">
      <c r="A1" s="678" t="s">
        <v>244</v>
      </c>
      <c r="B1" s="678"/>
      <c r="C1" s="678"/>
    </row>
    <row r="3" spans="1:13" ht="15.75" x14ac:dyDescent="0.25">
      <c r="A3" s="405" t="s">
        <v>245</v>
      </c>
    </row>
    <row r="4" spans="1:13" x14ac:dyDescent="0.25">
      <c r="A4" s="406" t="s">
        <v>246</v>
      </c>
      <c r="K4" s="407"/>
      <c r="M4" s="407"/>
    </row>
    <row r="5" spans="1:13" x14ac:dyDescent="0.25">
      <c r="A5" s="408" t="s">
        <v>247</v>
      </c>
    </row>
    <row r="6" spans="1:13" x14ac:dyDescent="0.25">
      <c r="A6" s="409" t="s">
        <v>248</v>
      </c>
    </row>
    <row r="8" spans="1:13" x14ac:dyDescent="0.25">
      <c r="H8" s="410" t="s">
        <v>249</v>
      </c>
    </row>
    <row r="9" spans="1:13" x14ac:dyDescent="0.25">
      <c r="A9" s="410" t="s">
        <v>250</v>
      </c>
      <c r="B9" s="677" t="s">
        <v>251</v>
      </c>
      <c r="C9" s="677"/>
      <c r="D9" s="411"/>
    </row>
    <row r="10" spans="1:13" ht="18" customHeight="1" x14ac:dyDescent="0.25">
      <c r="A10" t="s">
        <v>252</v>
      </c>
      <c r="B10" s="412" t="s">
        <v>19</v>
      </c>
      <c r="C10" s="412" t="s">
        <v>20</v>
      </c>
      <c r="H10" s="413" t="s">
        <v>253</v>
      </c>
    </row>
    <row r="11" spans="1:13" ht="24.75" customHeight="1" x14ac:dyDescent="0.25">
      <c r="B11" s="412"/>
      <c r="C11" s="412"/>
      <c r="H11" s="414" t="str">
        <f>B19</f>
        <v>Søer,gylte og orner</v>
      </c>
      <c r="I11" s="409">
        <v>1</v>
      </c>
    </row>
    <row r="12" spans="1:13" x14ac:dyDescent="0.25">
      <c r="A12" s="410" t="s">
        <v>254</v>
      </c>
      <c r="B12" s="677" t="s">
        <v>251</v>
      </c>
      <c r="C12" s="677"/>
      <c r="H12" s="414" t="str">
        <f>C19</f>
        <v>Svin o. 30 kg</v>
      </c>
      <c r="I12" s="409">
        <v>4.1399999999999997</v>
      </c>
      <c r="J12">
        <v>3.7</v>
      </c>
    </row>
    <row r="13" spans="1:13" ht="30" x14ac:dyDescent="0.25">
      <c r="A13" s="415" t="s">
        <v>255</v>
      </c>
      <c r="B13" s="412" t="s">
        <v>256</v>
      </c>
      <c r="C13" s="412" t="s">
        <v>257</v>
      </c>
      <c r="H13" s="414" t="str">
        <f>D19</f>
        <v>Smågrise 7-30 kg</v>
      </c>
      <c r="I13" s="409">
        <v>6.65</v>
      </c>
      <c r="J13">
        <v>5.9</v>
      </c>
    </row>
    <row r="14" spans="1:13" x14ac:dyDescent="0.25">
      <c r="B14" s="416"/>
      <c r="C14" s="416"/>
    </row>
    <row r="15" spans="1:13" x14ac:dyDescent="0.25">
      <c r="A15" s="417" t="s">
        <v>258</v>
      </c>
      <c r="B15" s="677" t="s">
        <v>251</v>
      </c>
      <c r="C15" s="677"/>
    </row>
    <row r="16" spans="1:13" x14ac:dyDescent="0.25">
      <c r="B16" s="418" t="s">
        <v>259</v>
      </c>
      <c r="C16" s="418" t="s">
        <v>260</v>
      </c>
      <c r="D16" s="418" t="s">
        <v>261</v>
      </c>
    </row>
    <row r="17" spans="1:20" x14ac:dyDescent="0.25">
      <c r="B17" s="412"/>
      <c r="C17" s="412"/>
      <c r="D17" s="418"/>
      <c r="L17" s="419"/>
    </row>
    <row r="18" spans="1:20" x14ac:dyDescent="0.25">
      <c r="A18" s="417" t="s">
        <v>262</v>
      </c>
      <c r="B18" s="677" t="s">
        <v>251</v>
      </c>
      <c r="C18" s="677"/>
      <c r="D18" s="418"/>
    </row>
    <row r="19" spans="1:20" ht="30.75" thickBot="1" x14ac:dyDescent="0.3">
      <c r="B19" s="414" t="s">
        <v>263</v>
      </c>
      <c r="C19" s="412" t="s">
        <v>264</v>
      </c>
      <c r="D19" s="414" t="s">
        <v>265</v>
      </c>
      <c r="L19" s="420" t="s">
        <v>266</v>
      </c>
      <c r="M19" s="407"/>
      <c r="N19" s="677" t="s">
        <v>267</v>
      </c>
      <c r="O19" s="677"/>
      <c r="P19" s="677"/>
      <c r="Q19" s="677"/>
      <c r="S19" s="419" t="s">
        <v>268</v>
      </c>
    </row>
    <row r="20" spans="1:20" x14ac:dyDescent="0.25">
      <c r="B20" s="416"/>
      <c r="C20" s="416"/>
      <c r="L20" s="421"/>
      <c r="M20" s="422"/>
      <c r="N20" s="679" t="str">
        <f>B16</f>
        <v>Årssøer</v>
      </c>
      <c r="O20" s="679"/>
      <c r="P20" s="679" t="str">
        <f>B19</f>
        <v>Søer,gylte og orner</v>
      </c>
      <c r="Q20" s="680"/>
      <c r="S20" s="41" t="str">
        <f>B16</f>
        <v>Årssøer</v>
      </c>
      <c r="T20" s="44">
        <f>N22+N21</f>
        <v>107</v>
      </c>
    </row>
    <row r="21" spans="1:20" x14ac:dyDescent="0.25">
      <c r="B21" s="677" t="s">
        <v>251</v>
      </c>
      <c r="C21" s="677"/>
      <c r="L21" s="45" t="s">
        <v>269</v>
      </c>
      <c r="M21" s="423"/>
      <c r="N21" s="681">
        <v>2</v>
      </c>
      <c r="O21" s="681"/>
      <c r="P21" s="681"/>
      <c r="Q21" s="682"/>
      <c r="S21" s="45" t="str">
        <f>B19</f>
        <v>Søer,gylte og orner</v>
      </c>
      <c r="T21" s="46">
        <f>T20</f>
        <v>107</v>
      </c>
    </row>
    <row r="22" spans="1:20" ht="30" x14ac:dyDescent="0.25">
      <c r="A22" s="415" t="s">
        <v>270</v>
      </c>
      <c r="B22" s="412" t="s">
        <v>19</v>
      </c>
      <c r="C22" s="412" t="s">
        <v>20</v>
      </c>
      <c r="L22" s="45" t="s">
        <v>271</v>
      </c>
      <c r="M22" s="423"/>
      <c r="N22" s="681">
        <v>105</v>
      </c>
      <c r="O22" s="681"/>
      <c r="P22" s="681"/>
      <c r="Q22" s="682"/>
      <c r="S22" s="45" t="str">
        <f>C16</f>
        <v>Slagtesvin</v>
      </c>
      <c r="T22" s="46">
        <f>N26</f>
        <v>0.32</v>
      </c>
    </row>
    <row r="23" spans="1:20" ht="15.75" thickBot="1" x14ac:dyDescent="0.3">
      <c r="B23" s="416"/>
      <c r="C23" s="416"/>
      <c r="L23" s="47" t="s">
        <v>272</v>
      </c>
      <c r="M23" s="424"/>
      <c r="N23" s="683">
        <v>101</v>
      </c>
      <c r="O23" s="683"/>
      <c r="P23" s="683"/>
      <c r="Q23" s="684"/>
      <c r="S23" s="45" t="str">
        <f>C19</f>
        <v>Svin o. 30 kg</v>
      </c>
      <c r="T23" s="46">
        <f>N26</f>
        <v>0.32</v>
      </c>
    </row>
    <row r="24" spans="1:20" x14ac:dyDescent="0.25">
      <c r="A24" s="425"/>
      <c r="B24" s="677" t="s">
        <v>251</v>
      </c>
      <c r="C24" s="677"/>
      <c r="L24" s="41"/>
      <c r="M24" s="43"/>
      <c r="N24" s="679" t="str">
        <f>C16</f>
        <v>Slagtesvin</v>
      </c>
      <c r="O24" s="679"/>
      <c r="P24" s="679" t="str">
        <f>C19</f>
        <v>Svin o. 30 kg</v>
      </c>
      <c r="Q24" s="680"/>
      <c r="S24" s="45" t="str">
        <f>D16</f>
        <v>Smågrise</v>
      </c>
      <c r="T24" s="46">
        <f>N28</f>
        <v>11</v>
      </c>
    </row>
    <row r="25" spans="1:20" ht="34.5" thickBot="1" x14ac:dyDescent="0.3">
      <c r="A25" s="426" t="s">
        <v>273</v>
      </c>
      <c r="B25" s="412" t="s">
        <v>19</v>
      </c>
      <c r="C25" s="412" t="s">
        <v>20</v>
      </c>
      <c r="L25" s="45" t="s">
        <v>274</v>
      </c>
      <c r="M25" s="38"/>
      <c r="N25" s="681">
        <v>0.1</v>
      </c>
      <c r="O25" s="681"/>
      <c r="P25" s="681"/>
      <c r="Q25" s="682"/>
      <c r="S25" s="47" t="str">
        <f>D19</f>
        <v>Smågrise 7-30 kg</v>
      </c>
      <c r="T25" s="49">
        <f>T24</f>
        <v>11</v>
      </c>
    </row>
    <row r="26" spans="1:20" ht="15.75" thickBot="1" x14ac:dyDescent="0.3">
      <c r="A26" s="425"/>
      <c r="B26" s="427"/>
      <c r="C26" s="427"/>
      <c r="L26" s="47" t="s">
        <v>275</v>
      </c>
      <c r="M26" s="48"/>
      <c r="N26" s="683">
        <v>0.32</v>
      </c>
      <c r="O26" s="683"/>
      <c r="P26" s="683"/>
      <c r="Q26" s="684"/>
    </row>
    <row r="27" spans="1:20" x14ac:dyDescent="0.25">
      <c r="B27" s="677" t="s">
        <v>251</v>
      </c>
      <c r="C27" s="677"/>
      <c r="L27" s="41"/>
      <c r="M27" s="422"/>
      <c r="N27" s="679" t="str">
        <f>D16</f>
        <v>Smågrise</v>
      </c>
      <c r="O27" s="679"/>
      <c r="P27" s="679"/>
      <c r="Q27" s="680"/>
    </row>
    <row r="28" spans="1:20" ht="30" x14ac:dyDescent="0.25">
      <c r="A28" s="428" t="s">
        <v>276</v>
      </c>
      <c r="B28" s="414" t="s">
        <v>277</v>
      </c>
      <c r="C28" s="414" t="s">
        <v>52</v>
      </c>
      <c r="D28" s="429" t="s">
        <v>51</v>
      </c>
      <c r="E28" t="s">
        <v>197</v>
      </c>
      <c r="F28" t="s">
        <v>196</v>
      </c>
      <c r="G28" t="s">
        <v>201</v>
      </c>
      <c r="L28" s="45" t="s">
        <v>278</v>
      </c>
      <c r="M28" s="38"/>
      <c r="N28" s="681">
        <v>11</v>
      </c>
      <c r="O28" s="681"/>
      <c r="P28" s="681"/>
      <c r="Q28" s="682"/>
    </row>
    <row r="29" spans="1:20" ht="15.75" thickBot="1" x14ac:dyDescent="0.3">
      <c r="L29" s="47" t="s">
        <v>279</v>
      </c>
      <c r="M29" s="48"/>
      <c r="N29" s="683">
        <v>2.2999999999999998</v>
      </c>
      <c r="O29" s="683"/>
      <c r="P29" s="683"/>
      <c r="Q29" s="684"/>
    </row>
    <row r="30" spans="1:20" x14ac:dyDescent="0.25">
      <c r="C30" t="e">
        <f>IF('Tiltag 3'!I42=E28:G28,"Kedel","")</f>
        <v>#VALUE!</v>
      </c>
    </row>
    <row r="31" spans="1:20" ht="15.75" thickBot="1" x14ac:dyDescent="0.3">
      <c r="B31" t="s">
        <v>347</v>
      </c>
      <c r="C31" t="e">
        <f>MATCH('Tiltag 3'!I42,C28:G28,0)</f>
        <v>#N/A</v>
      </c>
      <c r="L31" s="420" t="s">
        <v>266</v>
      </c>
      <c r="M31" s="407"/>
      <c r="N31" s="677" t="s">
        <v>280</v>
      </c>
      <c r="O31" s="677"/>
      <c r="P31" s="677"/>
      <c r="Q31" s="677"/>
      <c r="S31" s="419" t="s">
        <v>268</v>
      </c>
    </row>
    <row r="32" spans="1:20" x14ac:dyDescent="0.25">
      <c r="B32" t="s">
        <v>348</v>
      </c>
      <c r="C32" t="e">
        <f>MATCH('Tiltag 4'!J35,C28:G28,0)</f>
        <v>#N/A</v>
      </c>
      <c r="L32" s="421"/>
      <c r="M32" s="422"/>
      <c r="N32" s="679" t="str">
        <f>B16</f>
        <v>Årssøer</v>
      </c>
      <c r="O32" s="679"/>
      <c r="P32" s="679" t="str">
        <f>B19</f>
        <v>Søer,gylte og orner</v>
      </c>
      <c r="Q32" s="680"/>
      <c r="S32" s="41" t="str">
        <f>B16</f>
        <v>Årssøer</v>
      </c>
      <c r="T32" s="44">
        <f>N34</f>
        <v>44</v>
      </c>
    </row>
    <row r="33" spans="2:20" x14ac:dyDescent="0.25">
      <c r="B33" t="s">
        <v>197</v>
      </c>
      <c r="C33" t="s">
        <v>340</v>
      </c>
      <c r="L33" s="45" t="s">
        <v>269</v>
      </c>
      <c r="M33" s="423"/>
      <c r="N33" s="681">
        <v>0</v>
      </c>
      <c r="O33" s="681"/>
      <c r="P33" s="681"/>
      <c r="Q33" s="682"/>
      <c r="S33" s="45" t="str">
        <f>B19</f>
        <v>Søer,gylte og orner</v>
      </c>
      <c r="T33" s="46">
        <f>N34</f>
        <v>44</v>
      </c>
    </row>
    <row r="34" spans="2:20" ht="15.75" thickBot="1" x14ac:dyDescent="0.3">
      <c r="B34" t="s">
        <v>196</v>
      </c>
      <c r="C34" t="s">
        <v>338</v>
      </c>
      <c r="L34" s="45" t="s">
        <v>271</v>
      </c>
      <c r="M34" s="423"/>
      <c r="N34" s="681">
        <v>44</v>
      </c>
      <c r="O34" s="681"/>
      <c r="P34" s="681"/>
      <c r="Q34" s="682"/>
      <c r="S34" s="45" t="str">
        <f>C16</f>
        <v>Slagtesvin</v>
      </c>
      <c r="T34" s="46">
        <f>N36</f>
        <v>2.2000000000000002</v>
      </c>
    </row>
    <row r="35" spans="2:20" x14ac:dyDescent="0.25">
      <c r="B35" t="s">
        <v>201</v>
      </c>
      <c r="C35" t="s">
        <v>5</v>
      </c>
      <c r="L35" s="41"/>
      <c r="M35" s="43"/>
      <c r="N35" s="679" t="str">
        <f>C16</f>
        <v>Slagtesvin</v>
      </c>
      <c r="O35" s="679"/>
      <c r="P35" s="679" t="str">
        <f>C19</f>
        <v>Svin o. 30 kg</v>
      </c>
      <c r="Q35" s="680"/>
      <c r="S35" s="45" t="str">
        <f>C19</f>
        <v>Svin o. 30 kg</v>
      </c>
      <c r="T35" s="46">
        <f>N36</f>
        <v>2.2000000000000002</v>
      </c>
    </row>
    <row r="36" spans="2:20" ht="15.75" thickBot="1" x14ac:dyDescent="0.3">
      <c r="L36" s="45" t="s">
        <v>274</v>
      </c>
      <c r="M36" s="38"/>
      <c r="N36" s="681">
        <v>2.2000000000000002</v>
      </c>
      <c r="O36" s="681"/>
      <c r="P36" s="681"/>
      <c r="Q36" s="682"/>
      <c r="S36" s="45" t="str">
        <f>D16</f>
        <v>Smågrise</v>
      </c>
      <c r="T36" s="46">
        <f>N38</f>
        <v>1</v>
      </c>
    </row>
    <row r="37" spans="2:20" ht="15.75" thickBot="1" x14ac:dyDescent="0.3">
      <c r="L37" s="41"/>
      <c r="M37" s="422"/>
      <c r="N37" s="679" t="str">
        <f>D16</f>
        <v>Smågrise</v>
      </c>
      <c r="O37" s="679"/>
      <c r="P37" s="679"/>
      <c r="Q37" s="680"/>
      <c r="S37" s="47" t="str">
        <f>D19</f>
        <v>Smågrise 7-30 kg</v>
      </c>
      <c r="T37" s="49">
        <f>N38</f>
        <v>1</v>
      </c>
    </row>
    <row r="38" spans="2:20" ht="15.75" thickBot="1" x14ac:dyDescent="0.3">
      <c r="L38" s="47" t="s">
        <v>278</v>
      </c>
      <c r="M38" s="48"/>
      <c r="N38" s="683">
        <v>1</v>
      </c>
      <c r="O38" s="683"/>
      <c r="P38" s="683"/>
      <c r="Q38" s="684"/>
    </row>
  </sheetData>
  <mergeCells count="31">
    <mergeCell ref="N38:Q38"/>
    <mergeCell ref="N28:Q28"/>
    <mergeCell ref="N29:Q29"/>
    <mergeCell ref="N31:Q31"/>
    <mergeCell ref="N32:O32"/>
    <mergeCell ref="P32:Q32"/>
    <mergeCell ref="N33:Q33"/>
    <mergeCell ref="N34:Q34"/>
    <mergeCell ref="N35:O35"/>
    <mergeCell ref="P35:Q35"/>
    <mergeCell ref="N36:Q36"/>
    <mergeCell ref="N37:Q37"/>
    <mergeCell ref="B27:C27"/>
    <mergeCell ref="N27:Q27"/>
    <mergeCell ref="N20:O20"/>
    <mergeCell ref="P20:Q20"/>
    <mergeCell ref="B21:C21"/>
    <mergeCell ref="N21:Q21"/>
    <mergeCell ref="N22:Q22"/>
    <mergeCell ref="N23:Q23"/>
    <mergeCell ref="B24:C24"/>
    <mergeCell ref="N24:O24"/>
    <mergeCell ref="P24:Q24"/>
    <mergeCell ref="N25:Q25"/>
    <mergeCell ref="N26:Q26"/>
    <mergeCell ref="N19:Q19"/>
    <mergeCell ref="A1:C1"/>
    <mergeCell ref="B9:C9"/>
    <mergeCell ref="B12:C12"/>
    <mergeCell ref="B15:C15"/>
    <mergeCell ref="B18:C1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DF22F492AE8914D8B73C3E3C23F308D" ma:contentTypeVersion="28" ma:contentTypeDescription="Opret et nyt dokument." ma:contentTypeScope="" ma:versionID="7038ba0c97d74ba78a46ea5fb1ab7418">
  <xsd:schema xmlns:xsd="http://www.w3.org/2001/XMLSchema" xmlns:xs="http://www.w3.org/2001/XMLSchema" xmlns:p="http://schemas.microsoft.com/office/2006/metadata/properties" xmlns:ns1="http://schemas.microsoft.com/sharepoint/v3" xmlns:ns2="b1cfadd8-d294-4d34-bc36-10edd03a80b3" xmlns:ns3="57e246f5-a181-4ddd-bcfa-8f2bd33c0c9c" targetNamespace="http://schemas.microsoft.com/office/2006/metadata/properties" ma:root="true" ma:fieldsID="91df54bf965dc9754d60b2dcaf88e71c" ns1:_="" ns2:_="" ns3:_="">
    <xsd:import namespace="http://schemas.microsoft.com/sharepoint/v3"/>
    <xsd:import namespace="b1cfadd8-d294-4d34-bc36-10edd03a80b3"/>
    <xsd:import namespace="57e246f5-a181-4ddd-bcfa-8f2bd33c0c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Filtype"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genskaber for Unified Compliance Policy" ma:hidden="true" ma:internalName="_ip_UnifiedCompliancePolicyProperties">
      <xsd:simpleType>
        <xsd:restriction base="dms:Note"/>
      </xsd:simpleType>
    </xsd:element>
    <xsd:element name="_ip_UnifiedCompliancePolicyUIAction" ma:index="21"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cfadd8-d294-4d34-bc36-10edd03a80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Filtype" ma:index="17" nillable="true" ma:displayName="Filtype" ma:format="Dropdown" ma:indexed="true" ma:internalName="Filtype">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fcff2bff-98dc-460d-973e-03f7511429f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7e246f5-a181-4ddd-bcfa-8f2bd33c0c9c"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4651abdf-1673-48e2-821d-f5cd0b68c3fe}" ma:internalName="TaxCatchAll" ma:showField="CatchAllData" ma:web="57e246f5-a181-4ddd-bcfa-8f2bd33c0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7e246f5-a181-4ddd-bcfa-8f2bd33c0c9c" xsi:nil="true"/>
    <_ip_UnifiedCompliancePolicyUIAction xmlns="http://schemas.microsoft.com/sharepoint/v3" xsi:nil="true"/>
    <lcf76f155ced4ddcb4097134ff3c332f xmlns="b1cfadd8-d294-4d34-bc36-10edd03a80b3">
      <Terms xmlns="http://schemas.microsoft.com/office/infopath/2007/PartnerControls"/>
    </lcf76f155ced4ddcb4097134ff3c332f>
    <Filtype xmlns="b1cfadd8-d294-4d34-bc36-10edd03a80b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8BFF08-D3AC-4DD4-A89C-41B6A145AE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cfadd8-d294-4d34-bc36-10edd03a80b3"/>
    <ds:schemaRef ds:uri="57e246f5-a181-4ddd-bcfa-8f2bd33c0c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CA8905-C5F9-46BC-9393-9F2AC5F511EC}">
  <ds:schemaRefs>
    <ds:schemaRef ds:uri="http://schemas.microsoft.com/sharepoint/v3"/>
    <ds:schemaRef ds:uri="http://purl.org/dc/terms/"/>
    <ds:schemaRef ds:uri="b1cfadd8-d294-4d34-bc36-10edd03a80b3"/>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57e246f5-a181-4ddd-bcfa-8f2bd33c0c9c"/>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71629B0-C235-4010-A081-6331E51E17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24</vt:i4>
      </vt:variant>
      <vt:variant>
        <vt:lpstr>Navngivne områder</vt:lpstr>
      </vt:variant>
      <vt:variant>
        <vt:i4>5</vt:i4>
      </vt:variant>
    </vt:vector>
  </HeadingPairs>
  <TitlesOfParts>
    <vt:vector size="29" baseType="lpstr">
      <vt:lpstr>Forside</vt:lpstr>
      <vt:lpstr>Beskrivelse</vt:lpstr>
      <vt:lpstr>Tiltag 1</vt:lpstr>
      <vt:lpstr>Tiltag 2</vt:lpstr>
      <vt:lpstr>Tiltag 3</vt:lpstr>
      <vt:lpstr>Tiltag 4</vt:lpstr>
      <vt:lpstr>Tiltag 5</vt:lpstr>
      <vt:lpstr>Tiltag 6</vt:lpstr>
      <vt:lpstr>Grise - regneark</vt:lpstr>
      <vt:lpstr>Nøgletal</vt:lpstr>
      <vt:lpstr>Forbrugsberegner 1</vt:lpstr>
      <vt:lpstr>Graddageberegner</vt:lpstr>
      <vt:lpstr>Virkningsgradsberegner 1</vt:lpstr>
      <vt:lpstr>Forbrugsberegner 2</vt:lpstr>
      <vt:lpstr>Virkningsgradsberegner 2</vt:lpstr>
      <vt:lpstr>Virkningsgradsberegner (2)</vt:lpstr>
      <vt:lpstr>Forbrugsberegner 5</vt:lpstr>
      <vt:lpstr>Virkningsgradsberegner 5</vt:lpstr>
      <vt:lpstr>Kalorifere</vt:lpstr>
      <vt:lpstr>Forbrugsberegner 3</vt:lpstr>
      <vt:lpstr>Virkningsgradsberegner 3</vt:lpstr>
      <vt:lpstr>Kyllinge - regneark</vt:lpstr>
      <vt:lpstr>Forbrugsberegner 4</vt:lpstr>
      <vt:lpstr>Virkningsgradsberegner 4</vt:lpstr>
      <vt:lpstr>Nøgletal!_ftn1</vt:lpstr>
      <vt:lpstr>Nøgletal!_ftnref1</vt:lpstr>
      <vt:lpstr>Kedelliste</vt:lpstr>
      <vt:lpstr>Manuel</vt:lpstr>
      <vt:lpstr>Procesenergi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Standardløsning for varmeforsyning</dc:title>
  <dc:creator/>
  <cp:lastModifiedBy/>
  <dcterms:created xsi:type="dcterms:W3CDTF">2015-06-05T18:19:34Z</dcterms:created>
  <dcterms:modified xsi:type="dcterms:W3CDTF">2023-01-23T15:13:38Z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0x010100BDF22F492AE8914D8B73C3E3C23F308D</vt:lpwstr>
  </property>
  <property fmtid="{D5CDD505-2E9C-101B-9397-08002B2CF9AE}" pid="3" name="MediaServiceImageTags">
    <vt:lpwstr/>
  </property>
</Properties>
</file>