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worksheets/sheet3.xml" ContentType="application/vnd.openxmlformats-officedocument.spreadsheetml.worksheet+xml"/>
  <Override PartName="/xl/worksheets/sheet2.xml" ContentType="application/vnd.openxmlformats-officedocument.spreadsheetml.worksheet+xml"/>
  <Override PartName="/xl/charts/colors7.xml" ContentType="application/vnd.ms-office.chartcolorstyle+xml"/>
  <Override PartName="/xl/charts/style7.xml" ContentType="application/vnd.ms-office.chartstyle+xml"/>
  <Override PartName="/xl/charts/chart7.xml" ContentType="application/vnd.openxmlformats-officedocument.drawingml.chart+xml"/>
  <Override PartName="/xl/worksheets/sheet1.xml" ContentType="application/vnd.openxmlformats-officedocument.spreadsheetml.worksheet+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5.xml" ContentType="application/vnd.openxmlformats-officedocument.drawingml.chart+xml"/>
  <Override PartName="/xl/charts/style5.xml" ContentType="application/vnd.ms-office.chartstyle+xml"/>
  <Override PartName="/xl/charts/style4.xml" ContentType="application/vnd.ms-office.chartstyle+xml"/>
  <Override PartName="/xl/drawings/drawing2.xml" ContentType="application/vnd.openxmlformats-officedocument.drawing+xml"/>
  <Override PartName="/xl/drawings/drawing3.xml" ContentType="application/vnd.openxmlformats-officedocument.drawing+xml"/>
  <Override PartName="/xl/charts/colors4.xml" ContentType="application/vnd.ms-office.chartcolorstyle+xml"/>
  <Override PartName="/xl/embeddings/oleObject1.bin" ContentType="application/vnd.openxmlformats-officedocument.oleObject"/>
  <Override PartName="/xl/drawings/drawing1.xml" ContentType="application/vnd.openxmlformats-officedocument.drawing+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olors2.xml" ContentType="application/vnd.ms-office.chartcolorsty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olors3.xml" ContentType="application/vnd.ms-office.chartcolorstyle+xml"/>
  <Override PartName="/xl/charts/style3.xml" ContentType="application/vnd.ms-office.chartstyle+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075379\Desktop\"/>
    </mc:Choice>
  </mc:AlternateContent>
  <workbookProtection workbookAlgorithmName="SHA-512" workbookHashValue="sMdm2kju3VnN1nagD18Jt4nBG95eqVgs1IK2E09KQbaTZcAi40JfJ0qLh658QUtUZzbFzlNG2f6ZQutpku2Dvg==" workbookSaltValue="qh7bsqITBEuYLa79efUQBQ==" workbookSpinCount="100000" lockStructure="1"/>
  <bookViews>
    <workbookView xWindow="0" yWindow="0" windowWidth="19200" windowHeight="4200" firstSheet="1" activeTab="2"/>
  </bookViews>
  <sheets>
    <sheet name="Forside" sheetId="11" state="hidden" r:id="rId1"/>
    <sheet name="Beskrivelse" sheetId="12" r:id="rId2"/>
    <sheet name="Optimering af klimaskærm" sheetId="4" r:id="rId3"/>
    <sheet name="Data" sheetId="1" state="hidden" r:id="rId4"/>
    <sheet name="VG beregner" sheetId="9" state="hidden" r:id="rId5"/>
    <sheet name="VG opslag" sheetId="8" state="hidden" r:id="rId6"/>
    <sheet name="Kalorifer" sheetId="10" state="hidden" r:id="rId7"/>
  </sheets>
  <externalReferences>
    <externalReference r:id="rId8"/>
  </externalReferences>
  <definedNames>
    <definedName name="Branche">#REF!</definedName>
    <definedName name="Kedelliste" localSheetId="1">#REF!</definedName>
    <definedName name="Kedelliste" localSheetId="0">#REF!</definedName>
    <definedName name="Kedelliste">#REF!</definedName>
    <definedName name="Manuel">#REF!</definedName>
    <definedName name="Procesenergi">#REF!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3" i="4" l="1"/>
  <c r="D36" i="4"/>
  <c r="K27" i="4" l="1"/>
  <c r="K23" i="4"/>
  <c r="H29" i="1" l="1"/>
  <c r="Q3" i="4" l="1"/>
  <c r="O4" i="12"/>
  <c r="B2" i="12"/>
  <c r="P8" i="4" l="1"/>
  <c r="P7" i="4"/>
  <c r="L18" i="1" l="1"/>
  <c r="J18" i="1" l="1"/>
  <c r="I18" i="1" l="1"/>
  <c r="K18" i="1" s="1"/>
  <c r="M39" i="1" s="1"/>
  <c r="G6" i="10"/>
  <c r="E6" i="10"/>
  <c r="C6" i="10"/>
  <c r="D6" i="10" s="1"/>
  <c r="E3" i="9"/>
  <c r="C3" i="8"/>
  <c r="D4" i="9"/>
  <c r="C5" i="8"/>
  <c r="N50" i="10"/>
  <c r="N52" i="10" s="1"/>
  <c r="R39" i="10"/>
  <c r="M66" i="10"/>
  <c r="O28" i="10"/>
  <c r="N28" i="10"/>
  <c r="C28" i="10"/>
  <c r="O27" i="10"/>
  <c r="O26" i="10"/>
  <c r="O25" i="10"/>
  <c r="F13" i="10" s="1"/>
  <c r="D19" i="10"/>
  <c r="C19" i="10"/>
  <c r="B19" i="10"/>
  <c r="D18" i="10"/>
  <c r="C18" i="10"/>
  <c r="B18" i="10"/>
  <c r="P16" i="10"/>
  <c r="F14" i="10"/>
  <c r="D14" i="10"/>
  <c r="D13" i="10"/>
  <c r="D12" i="10"/>
  <c r="D11" i="10"/>
  <c r="O22" i="10"/>
  <c r="C90" i="8"/>
  <c r="K4" i="8"/>
  <c r="E119" i="9"/>
  <c r="N90" i="9"/>
  <c r="N88" i="9"/>
  <c r="N86" i="9"/>
  <c r="G86" i="9"/>
  <c r="N85" i="9"/>
  <c r="N84" i="9"/>
  <c r="N83" i="9"/>
  <c r="J83" i="9"/>
  <c r="N82" i="9"/>
  <c r="J82" i="9"/>
  <c r="N81" i="9"/>
  <c r="F78" i="9"/>
  <c r="F75" i="9"/>
  <c r="O68" i="9"/>
  <c r="O67" i="9"/>
  <c r="O66" i="9"/>
  <c r="E55" i="9"/>
  <c r="D50" i="9"/>
  <c r="D48" i="9"/>
  <c r="F48" i="9" s="1"/>
  <c r="D57" i="9" s="1"/>
  <c r="E47" i="9"/>
  <c r="D47" i="9" s="1"/>
  <c r="Q2" i="9" s="1"/>
  <c r="S34" i="9"/>
  <c r="O34" i="9"/>
  <c r="S33" i="9"/>
  <c r="O33" i="9"/>
  <c r="S32" i="9"/>
  <c r="O32" i="9"/>
  <c r="C17" i="9"/>
  <c r="D17" i="9" s="1"/>
  <c r="A12" i="9"/>
  <c r="AC5" i="9"/>
  <c r="AC6" i="9" s="1"/>
  <c r="A4" i="9"/>
  <c r="D5" i="9" l="1"/>
  <c r="O39" i="9" s="1"/>
  <c r="O7" i="9" s="1"/>
  <c r="D20" i="8"/>
  <c r="O45" i="10"/>
  <c r="O19" i="10"/>
  <c r="P19" i="10"/>
  <c r="O49" i="10"/>
  <c r="O23" i="10"/>
  <c r="O46" i="10"/>
  <c r="O21" i="10"/>
  <c r="O47" i="10"/>
  <c r="P17" i="10"/>
  <c r="O20" i="10"/>
  <c r="N53" i="10"/>
  <c r="P13" i="10"/>
  <c r="N54" i="10"/>
  <c r="N55" i="10"/>
  <c r="N56" i="10"/>
  <c r="N57" i="10"/>
  <c r="N58" i="10"/>
  <c r="N59" i="10"/>
  <c r="N60" i="10"/>
  <c r="N61" i="10"/>
  <c r="N62" i="10"/>
  <c r="O48" i="10"/>
  <c r="P11" i="10"/>
  <c r="P14" i="10"/>
  <c r="P12" i="10"/>
  <c r="P15" i="10"/>
  <c r="S2" i="9"/>
  <c r="F47" i="9" s="1"/>
  <c r="D53" i="9" s="1"/>
  <c r="D54" i="9" s="1"/>
  <c r="R2" i="9"/>
  <c r="F4" i="9"/>
  <c r="D12" i="9" s="1"/>
  <c r="D49" i="9"/>
  <c r="D58" i="9"/>
  <c r="D3" i="9"/>
  <c r="K5" i="9"/>
  <c r="F6" i="10" l="1"/>
  <c r="M2" i="9"/>
  <c r="N2" i="9" s="1"/>
  <c r="C4" i="8"/>
  <c r="O57" i="9"/>
  <c r="O9" i="9" s="1"/>
  <c r="O30" i="9"/>
  <c r="O6" i="9" s="1"/>
  <c r="O12" i="9"/>
  <c r="O4" i="9" s="1"/>
  <c r="O64" i="9"/>
  <c r="O48" i="9"/>
  <c r="O8" i="9" s="1"/>
  <c r="O21" i="9"/>
  <c r="D55" i="9"/>
  <c r="D59" i="9"/>
  <c r="D60" i="9" s="1"/>
  <c r="S12" i="9"/>
  <c r="S4" i="9" s="1"/>
  <c r="S21" i="9"/>
  <c r="S39" i="9"/>
  <c r="S7" i="9" s="1"/>
  <c r="S30" i="9"/>
  <c r="S6" i="9" s="1"/>
  <c r="S57" i="9"/>
  <c r="S9" i="9" s="1"/>
  <c r="S48" i="9"/>
  <c r="S8" i="9" s="1"/>
  <c r="O2" i="9" l="1"/>
  <c r="F3" i="9" s="1"/>
  <c r="D8" i="9" s="1"/>
  <c r="M10" i="8"/>
  <c r="C6" i="8"/>
  <c r="C48" i="8" s="1"/>
  <c r="C87" i="8" s="1"/>
  <c r="O10" i="9"/>
  <c r="O5" i="9"/>
  <c r="S5" i="9"/>
  <c r="S10" i="9"/>
  <c r="M15" i="8" l="1"/>
  <c r="M14" i="8"/>
  <c r="L14" i="8" s="1"/>
  <c r="M17" i="8"/>
  <c r="L17" i="8" s="1"/>
  <c r="M13" i="8"/>
  <c r="M16" i="8"/>
  <c r="L16" i="8" s="1"/>
  <c r="C58" i="8" l="1"/>
  <c r="C88" i="8" s="1"/>
  <c r="C68" i="8"/>
  <c r="C89" i="8" s="1"/>
  <c r="C33" i="8"/>
  <c r="C86" i="8" s="1"/>
  <c r="C20" i="8"/>
  <c r="C85" i="8" s="1"/>
  <c r="L13" i="8"/>
  <c r="L15" i="8" s="1"/>
  <c r="C91" i="8" l="1"/>
  <c r="D6" i="9" s="1"/>
  <c r="J14" i="9" l="1"/>
  <c r="H13" i="9"/>
  <c r="I14" i="9"/>
  <c r="D13" i="9"/>
  <c r="J13" i="9"/>
  <c r="I13" i="9"/>
  <c r="K15" i="9"/>
  <c r="H14" i="9"/>
  <c r="D9" i="9"/>
  <c r="F14" i="9" s="1"/>
  <c r="I15" i="9"/>
  <c r="K13" i="9"/>
  <c r="H15" i="9"/>
  <c r="K14" i="9"/>
  <c r="J15" i="9"/>
  <c r="D14" i="9" l="1"/>
  <c r="D10" i="9"/>
  <c r="D15" i="9" l="1"/>
  <c r="D17" i="1" l="1"/>
  <c r="E21" i="4" l="1"/>
  <c r="F21" i="4" s="1"/>
  <c r="E25" i="4"/>
  <c r="F25" i="4" s="1"/>
  <c r="E26" i="4"/>
  <c r="F26" i="4" s="1"/>
  <c r="E27" i="4"/>
  <c r="F27" i="4" s="1"/>
  <c r="E28" i="4"/>
  <c r="F28" i="4" s="1"/>
  <c r="E20" i="4"/>
  <c r="F20" i="4" s="1"/>
  <c r="E19" i="4"/>
  <c r="F19" i="4" s="1"/>
  <c r="E22" i="4"/>
  <c r="F22" i="4" s="1"/>
  <c r="E23" i="4"/>
  <c r="F23" i="4" s="1"/>
  <c r="E24" i="4"/>
  <c r="F24" i="4" s="1"/>
  <c r="P9" i="4"/>
  <c r="E10" i="4" s="1"/>
  <c r="F29" i="4" l="1"/>
  <c r="B10" i="4"/>
  <c r="I20" i="4"/>
  <c r="I21" i="4"/>
  <c r="I22" i="4"/>
  <c r="I23" i="4"/>
  <c r="I24" i="4"/>
  <c r="I25" i="4"/>
  <c r="I26" i="4"/>
  <c r="I27" i="4"/>
  <c r="I28" i="4"/>
  <c r="I19" i="4"/>
  <c r="H19" i="4"/>
  <c r="J19" i="4" s="1"/>
  <c r="H21" i="4"/>
  <c r="J21" i="4" s="1"/>
  <c r="H22" i="4"/>
  <c r="J22" i="4" s="1"/>
  <c r="K22" i="4" s="1"/>
  <c r="H23" i="4"/>
  <c r="J23" i="4" s="1"/>
  <c r="H24" i="4"/>
  <c r="J24" i="4" s="1"/>
  <c r="H25" i="4"/>
  <c r="J25" i="4" s="1"/>
  <c r="H26" i="4"/>
  <c r="J26" i="4" s="1"/>
  <c r="H27" i="4"/>
  <c r="J27" i="4" s="1"/>
  <c r="H28" i="4"/>
  <c r="J28" i="4" s="1"/>
  <c r="H20" i="4"/>
  <c r="J20" i="4" s="1"/>
  <c r="K21" i="4" l="1"/>
  <c r="K19" i="4"/>
  <c r="K20" i="4"/>
  <c r="K24" i="4"/>
  <c r="K25" i="4"/>
  <c r="K26" i="4"/>
  <c r="K28" i="4"/>
  <c r="D3" i="1"/>
  <c r="D4" i="1"/>
  <c r="D5" i="1"/>
  <c r="D6" i="1"/>
  <c r="D7" i="1"/>
  <c r="D8" i="1"/>
  <c r="D9" i="1"/>
  <c r="D10" i="1"/>
  <c r="D11" i="1"/>
  <c r="C3" i="1"/>
  <c r="C4" i="1"/>
  <c r="C5" i="1"/>
  <c r="C6" i="1"/>
  <c r="C7" i="1"/>
  <c r="C8" i="1"/>
  <c r="C9" i="1"/>
  <c r="C10" i="1"/>
  <c r="C11" i="1"/>
  <c r="K29" i="4" l="1"/>
  <c r="D38" i="4" l="1"/>
  <c r="D19" i="1"/>
  <c r="D37" i="4" l="1"/>
</calcChain>
</file>

<file path=xl/sharedStrings.xml><?xml version="1.0" encoding="utf-8"?>
<sst xmlns="http://schemas.openxmlformats.org/spreadsheetml/2006/main" count="414" uniqueCount="195">
  <si>
    <t>Bygningsdele</t>
  </si>
  <si>
    <t>BR 72</t>
  </si>
  <si>
    <t>BR 77</t>
  </si>
  <si>
    <t>BR 82</t>
  </si>
  <si>
    <t>Kælderydervæg</t>
  </si>
  <si>
    <t>Skillevæg - uopv. rum</t>
  </si>
  <si>
    <t>Terrændæk</t>
  </si>
  <si>
    <t>Gulve mod ventilerede kryberum</t>
  </si>
  <si>
    <t>Etageadskillelser over/ mod det fri</t>
  </si>
  <si>
    <t>Loft- og tagkonstrukt.</t>
  </si>
  <si>
    <t>Flade tage / skråvægge</t>
  </si>
  <si>
    <t>Yderdør, port og lem</t>
  </si>
  <si>
    <t>Vinduer m.m.</t>
  </si>
  <si>
    <t>BR18</t>
  </si>
  <si>
    <t>BR 67</t>
  </si>
  <si>
    <t>BR 61</t>
  </si>
  <si>
    <t>BR 85</t>
  </si>
  <si>
    <t>BRS 85 2</t>
  </si>
  <si>
    <t>BR 95 og BR 98</t>
  </si>
  <si>
    <t>Tilskud til energibesparelser og energieffektiviseringer</t>
  </si>
  <si>
    <t>Energisparetiltag:</t>
  </si>
  <si>
    <t xml:space="preserve"> i erhvervsvirksomheder</t>
  </si>
  <si>
    <t>Afgrænsning af standardløsning</t>
  </si>
  <si>
    <t>•</t>
  </si>
  <si>
    <t>Nej</t>
  </si>
  <si>
    <t>Input</t>
  </si>
  <si>
    <t>Resultat</t>
  </si>
  <si>
    <t>MWh/år</t>
  </si>
  <si>
    <t>Før-situationen</t>
  </si>
  <si>
    <t xml:space="preserve">Efter-situationen </t>
  </si>
  <si>
    <t>Procentvis besparelse</t>
  </si>
  <si>
    <t>%</t>
  </si>
  <si>
    <t>Type</t>
  </si>
  <si>
    <t>Energibesparelse</t>
  </si>
  <si>
    <t>Dokumentationskrav</t>
  </si>
  <si>
    <t/>
  </si>
  <si>
    <t>Standardløsning for klimaskærmsprojekter</t>
  </si>
  <si>
    <t>U-værdi</t>
  </si>
  <si>
    <t>Varmepumpe</t>
  </si>
  <si>
    <t>Tilsvarende bygningsreglement</t>
  </si>
  <si>
    <t>BR 10 og BR 15</t>
  </si>
  <si>
    <t>BR 08</t>
  </si>
  <si>
    <t>T_jord</t>
  </si>
  <si>
    <t>T_luft</t>
  </si>
  <si>
    <t>Q til MWh</t>
  </si>
  <si>
    <t>Er bygningen omfattet af bygningsreglementet?</t>
  </si>
  <si>
    <t>Ja</t>
  </si>
  <si>
    <t>Omregnes pga. anden enhed - kcal i timen til W</t>
  </si>
  <si>
    <t>Fastsat indetemperatur</t>
  </si>
  <si>
    <t>BR 08 ref</t>
  </si>
  <si>
    <t>Ydervæg</t>
  </si>
  <si>
    <t>Er der i projektet inkluderet vægge, lofte mm. der ikke er mod jord eller det fri?</t>
  </si>
  <si>
    <t>Til kilde for BR tabel - https://hbemo.dk/vejledning/u-vaerdier/aeldre-bygningsreglementers-krav-til-u-vaerdier</t>
  </si>
  <si>
    <t>Angivet effekt</t>
  </si>
  <si>
    <t>Kedeltype</t>
  </si>
  <si>
    <t>Årgang</t>
  </si>
  <si>
    <t>Kapacitetsinterval</t>
  </si>
  <si>
    <t>Olie</t>
  </si>
  <si>
    <t>1-69 kW</t>
  </si>
  <si>
    <t>70 - 199 kW</t>
  </si>
  <si>
    <t>200-1000 kW</t>
  </si>
  <si>
    <t>Kedel fra 1970 - 1990</t>
  </si>
  <si>
    <t>Kondenserende kedel, over 10 år</t>
  </si>
  <si>
    <t>Kondenserende kedel, under 10 år</t>
  </si>
  <si>
    <t>Virkningsgrad - olie</t>
  </si>
  <si>
    <t>Naturgas</t>
  </si>
  <si>
    <t>Virkningsgrad - Naturgas</t>
  </si>
  <si>
    <t>Halmkedler</t>
  </si>
  <si>
    <t>1-1000 kW</t>
  </si>
  <si>
    <t>Automatisk halmanlæg</t>
  </si>
  <si>
    <t>Virkningsgrad - Halm</t>
  </si>
  <si>
    <t>Flis/korn</t>
  </si>
  <si>
    <t>Automatisk flis/kornanlæg</t>
  </si>
  <si>
    <t>Virkningsgrad - Flis</t>
  </si>
  <si>
    <t>Træpiller</t>
  </si>
  <si>
    <t>Virkningsgrad - Træpiller</t>
  </si>
  <si>
    <t>Brænde</t>
  </si>
  <si>
    <t>Virkningsgrader</t>
  </si>
  <si>
    <t>Halm</t>
  </si>
  <si>
    <t>Flis</t>
  </si>
  <si>
    <t>Kul/koks</t>
  </si>
  <si>
    <t>Virkningsgrad ved ny</t>
  </si>
  <si>
    <t>Brændsel</t>
  </si>
  <si>
    <t>Alder</t>
  </si>
  <si>
    <t>Ydelse</t>
  </si>
  <si>
    <t>Korr. til årsvirk.</t>
  </si>
  <si>
    <t>Års virk. ny</t>
  </si>
  <si>
    <t>Års virk. nu</t>
  </si>
  <si>
    <t>Fald</t>
  </si>
  <si>
    <t>Virk. nu</t>
  </si>
  <si>
    <t>Korr. virk.</t>
  </si>
  <si>
    <t>Fjernvarme</t>
  </si>
  <si>
    <t>Varmetab før [MWh]</t>
  </si>
  <si>
    <t>Varmetab efter [MWh]</t>
  </si>
  <si>
    <t>TOTAL</t>
  </si>
  <si>
    <t>felter med denne farve er ændret til værdier fra BR18, da de ellers vil forårsage muligheder for negative besparelser. Det vurderes acceptabelt at fravige fra BR reglementet i dette tilfælde, da de 4 tilfælde vil være yderst sjældne at se i en ansøgning givet forskellen i U-værdier og usandsynligheden i, at de dele af en klimaskærm skal udskiftes efter så kort tid. De oprindelige værdier fra BR findes i kolonne T.</t>
  </si>
  <si>
    <t>Kalorifer</t>
  </si>
  <si>
    <t>Før-situation</t>
  </si>
  <si>
    <t>Gammel kedel</t>
  </si>
  <si>
    <t>Nye kedel</t>
  </si>
  <si>
    <t>Varmeydelse</t>
  </si>
  <si>
    <t>Virk. ny</t>
  </si>
  <si>
    <t>Kul og koks</t>
  </si>
  <si>
    <t>Årsvirk. Nu</t>
  </si>
  <si>
    <t>Efter-situation</t>
  </si>
  <si>
    <t>Gas</t>
  </si>
  <si>
    <t>Brændværdier</t>
  </si>
  <si>
    <t>kWh/NM3</t>
  </si>
  <si>
    <t>https://ens.dk/sites/ens.dk/files/CO2/standardfaktorer_for_2019.pdf</t>
  </si>
  <si>
    <t>Gas-/dieselolie</t>
  </si>
  <si>
    <t>kWh/l</t>
  </si>
  <si>
    <t>Træ og træaffald</t>
  </si>
  <si>
    <t>kWh/kg</t>
  </si>
  <si>
    <t>Træpiller/træbriketter</t>
  </si>
  <si>
    <t>Stenkul</t>
  </si>
  <si>
    <t>Koks</t>
  </si>
  <si>
    <t>Heavy Fuel Oil</t>
  </si>
  <si>
    <t>Brændværdi for kul/koks</t>
  </si>
  <si>
    <t>Stenkul_min</t>
  </si>
  <si>
    <t>Stenkul_max</t>
  </si>
  <si>
    <t>Stenkul_gns</t>
  </si>
  <si>
    <t>Fyringsolie</t>
  </si>
  <si>
    <t>Gennemsnit</t>
  </si>
  <si>
    <t>Elkedel</t>
  </si>
  <si>
    <t>Tjek</t>
  </si>
  <si>
    <t>Kan vælges før</t>
  </si>
  <si>
    <t>Liste over typer</t>
  </si>
  <si>
    <t>Energitype</t>
  </si>
  <si>
    <t>Til opslag</t>
  </si>
  <si>
    <t>Gaskedel</t>
  </si>
  <si>
    <t>Kedel</t>
  </si>
  <si>
    <t>Oliekedel</t>
  </si>
  <si>
    <t>Fliskedel</t>
  </si>
  <si>
    <t>Træpillekedel</t>
  </si>
  <si>
    <t>Gaskalorifer</t>
  </si>
  <si>
    <t>Kulkedel</t>
  </si>
  <si>
    <t>Oliekalorifer</t>
  </si>
  <si>
    <t>Kokskedel</t>
  </si>
  <si>
    <t>HFO-kedel</t>
  </si>
  <si>
    <t>Heavy fuel oil</t>
  </si>
  <si>
    <t>Gasstrålevarmer</t>
  </si>
  <si>
    <t>Elektricitet</t>
  </si>
  <si>
    <t>Halmkedel</t>
  </si>
  <si>
    <t>Kan vælges efter</t>
  </si>
  <si>
    <t>kedel før 1970</t>
  </si>
  <si>
    <t>Før 2000</t>
  </si>
  <si>
    <t>Efter 2000 og før 2011</t>
  </si>
  <si>
    <t>Efter 2012</t>
  </si>
  <si>
    <t>Brændekedel</t>
  </si>
  <si>
    <t>Udregning af normvirkningsgrad ved udskiftning</t>
  </si>
  <si>
    <t>Kapacitet</t>
  </si>
  <si>
    <t>Virkningsgrad</t>
  </si>
  <si>
    <t>Kalorifer Tiltag 1</t>
  </si>
  <si>
    <t>Vandbåren</t>
  </si>
  <si>
    <t>Column1</t>
  </si>
  <si>
    <t>Virkningsgrad Tiltag 1</t>
  </si>
  <si>
    <t>Direkte forbrænding</t>
  </si>
  <si>
    <t>Virkningsgrad Tiltag 2</t>
  </si>
  <si>
    <t>Årstal</t>
  </si>
  <si>
    <t>Regression</t>
  </si>
  <si>
    <t>tjek til standardløsning</t>
  </si>
  <si>
    <t>Kedel under 1000 kW</t>
  </si>
  <si>
    <t>Kedel over 1000 kW</t>
  </si>
  <si>
    <r>
      <t>Areal [m</t>
    </r>
    <r>
      <rPr>
        <b/>
        <vertAlign val="superscript"/>
        <sz val="11"/>
        <color theme="0"/>
        <rFont val="Calibri"/>
        <family val="2"/>
        <scheme val="minor"/>
      </rPr>
      <t>2</t>
    </r>
    <r>
      <rPr>
        <b/>
        <sz val="11"/>
        <color theme="0"/>
        <rFont val="Calibri"/>
        <family val="2"/>
        <scheme val="minor"/>
      </rPr>
      <t>]</t>
    </r>
  </si>
  <si>
    <t>ref værdier fra før ændring</t>
  </si>
  <si>
    <t>Træ og Træaffald</t>
  </si>
  <si>
    <t>stor kedel  tjek</t>
  </si>
  <si>
    <t>Tjek var</t>
  </si>
  <si>
    <t>Varmekilder</t>
  </si>
  <si>
    <t>Lookup celle</t>
  </si>
  <si>
    <t>Energityper</t>
  </si>
  <si>
    <t>VP tjek</t>
  </si>
  <si>
    <t>Er bygningen opført før 2017?</t>
  </si>
  <si>
    <t>Tiltag 1 Optimering af klimaskærm</t>
  </si>
  <si>
    <t>Energiforbrug i før-situationen</t>
  </si>
  <si>
    <t>Energiforbrug i efter-situationen</t>
  </si>
  <si>
    <t>Sådan kommer du i gang</t>
  </si>
  <si>
    <t>Det kan du</t>
  </si>
  <si>
    <r>
      <rPr>
        <b/>
        <sz val="9"/>
        <color theme="1"/>
        <rFont val="Calibri"/>
        <family val="2"/>
        <scheme val="minor"/>
      </rPr>
      <t>1.</t>
    </r>
    <r>
      <rPr>
        <sz val="9"/>
        <color theme="1"/>
        <rFont val="Calibri"/>
        <family val="2"/>
        <scheme val="minor"/>
      </rPr>
      <t xml:space="preserve"> Se hvilke projekter der er indbefattet standardløsningen </t>
    </r>
  </si>
  <si>
    <r>
      <rPr>
        <b/>
        <sz val="9"/>
        <color theme="1"/>
        <rFont val="Calibri"/>
        <family val="2"/>
        <scheme val="minor"/>
      </rPr>
      <t>2.</t>
    </r>
    <r>
      <rPr>
        <sz val="9"/>
        <color theme="1"/>
        <rFont val="Calibri"/>
        <family val="2"/>
        <scheme val="minor"/>
      </rPr>
      <t xml:space="preserve"> Udfyld standardløsningen</t>
    </r>
  </si>
  <si>
    <r>
      <rPr>
        <b/>
        <sz val="9"/>
        <color theme="1"/>
        <rFont val="Calibri"/>
        <family val="2"/>
        <scheme val="minor"/>
      </rPr>
      <t>2.</t>
    </r>
    <r>
      <rPr>
        <sz val="9"/>
        <color theme="1"/>
        <rFont val="Calibri"/>
        <family val="2"/>
        <scheme val="minor"/>
      </rPr>
      <t xml:space="preserve"> Se dokumentationskrav der er gældende for standardløsningen </t>
    </r>
  </si>
  <si>
    <t>Standardløsning for klimaskærm</t>
  </si>
  <si>
    <t>Vers. 1  01.02.2023</t>
  </si>
  <si>
    <r>
      <rPr>
        <b/>
        <sz val="9"/>
        <color theme="1"/>
        <rFont val="Calibri"/>
        <family val="2"/>
        <scheme val="minor"/>
      </rPr>
      <t>1.</t>
    </r>
    <r>
      <rPr>
        <sz val="9"/>
        <color theme="1"/>
        <rFont val="Calibri"/>
        <family val="2"/>
        <scheme val="minor"/>
      </rPr>
      <t xml:space="preserve"> Læs om den aktuelle energisparetiltag på fanen "Beskrivelse"</t>
    </r>
  </si>
  <si>
    <r>
      <rPr>
        <b/>
        <sz val="9"/>
        <color theme="1"/>
        <rFont val="Calibri"/>
        <family val="2"/>
        <scheme val="minor"/>
      </rPr>
      <t xml:space="preserve">3. </t>
    </r>
    <r>
      <rPr>
        <sz val="9"/>
        <color theme="1"/>
        <rFont val="Calibri"/>
        <family val="2"/>
        <scheme val="minor"/>
      </rPr>
      <t xml:space="preserve">Vedlæg den udfyldte standardløsning i fase ansøgningsskemaet </t>
    </r>
  </si>
  <si>
    <t>4. Hvis du går i stå eller er i tvivl, Læs "Vejledning til klimaskærmt", som du finder under tiltaget</t>
  </si>
  <si>
    <t>Vis efter</t>
  </si>
  <si>
    <t>1.1.3 Varmepumpens SCOP</t>
  </si>
  <si>
    <t>1.1.1</t>
  </si>
  <si>
    <t>1. Hvornår er bygningen opført?</t>
  </si>
  <si>
    <r>
      <t>Areal [m</t>
    </r>
    <r>
      <rPr>
        <b/>
        <vertAlign val="superscript"/>
        <sz val="11"/>
        <color theme="9" tint="0.59999389629810485"/>
        <rFont val="Calibri"/>
        <family val="2"/>
        <scheme val="minor"/>
      </rPr>
      <t>2</t>
    </r>
    <r>
      <rPr>
        <b/>
        <sz val="11"/>
        <color theme="9" tint="0.59999389629810485"/>
        <rFont val="Calibri"/>
        <family val="2"/>
        <scheme val="minor"/>
      </rPr>
      <t>]</t>
    </r>
  </si>
  <si>
    <t>2. Hvilke konstruktioner renoveres?</t>
  </si>
  <si>
    <t>Levetidskategori</t>
  </si>
  <si>
    <t>3.3 Optimering af klimaskærm</t>
  </si>
  <si>
    <t xml:space="preserve">Denne standardløsning er frivillig at anvende og kan kun benyttes til konstruktioner og facadeelementer mod det fri og jord. Den er kun gældende for bygninger, der er opvarmede og underlagt bygningsreglementet. Den kan ikke benyttes til følgende projekter : 
• Hulmursisolerings projekter
• Bygninger, som indeholder store ovne eller store køleanlæg, som forårsager afvigelse i middeltemperature indendørs. 
• Udskiftning af facadeelementer eller isolering i dyrestalde 
• Bygninger, der ikke er opvarmet                                                                                                                                                                                                
• Udskiftning af facadeelementer eller isolering i gartnerier. 
                                                                                                                                                                                                                                                                          Standardløsningen er baseret på u-værdier. Den er gældende for projekter omhandlende ydervæg, kælderydervæg, skillevæg - uopv. rum, terrændæk, gulve mod ventilerede kryberum, etageadskillelser over/ mod det fri, loft- og tagkonstrukt, flade tage / skråvægge, yderdør, port og lem og vinduer m.m.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</si>
</sst>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
    <numFmt numFmtId="165" formatCode="_-* #,##0.0_-;\-* #,##0.0_-;_-* &quot;-&quot;??_-;_-@_-"/>
    <numFmt numFmtId="166" formatCode="#,##0_ ;\-#,##0\ "/>
    <numFmt numFmtId="167" formatCode="#,##0.00_ ;\-#,##0.00\ "/>
    <numFmt numFmtId="168" formatCode="_-* #,##0_-;\-* #,##0_-;_-* &quot;-&quot;??_-;_-@_-"/>
    <numFmt numFmtId="169" formatCode="0.000%"/>
    <numFmt numFmtId="170" formatCode="0.0000"/>
  </numFmts>
  <fonts count="58" x14ac:knownFonts="1">
    <font>
      <sz val="11"/>
      <color theme="1"/>
      <name val="Calibri"/>
      <family val="2"/>
      <scheme val="minor"/>
    </font>
    <font>
      <sz val="12"/>
      <color rgb="FF005561"/>
      <name val="Arial"/>
      <family val="2"/>
    </font>
    <font>
      <b/>
      <sz val="12"/>
      <color rgb="FF005561"/>
      <name val="Arial"/>
      <family val="2"/>
    </font>
    <font>
      <sz val="11"/>
      <color rgb="FF9C6500"/>
      <name val="Calibri"/>
      <family val="2"/>
      <scheme val="minor"/>
    </font>
    <font>
      <sz val="11"/>
      <color theme="1"/>
      <name val="Calibri"/>
      <family val="2"/>
      <scheme val="minor"/>
    </font>
    <font>
      <b/>
      <sz val="11"/>
      <color rgb="FFFA7D00"/>
      <name val="Calibri"/>
      <family val="2"/>
      <scheme val="minor"/>
    </font>
    <font>
      <sz val="9"/>
      <color theme="1"/>
      <name val="Calibri"/>
      <family val="2"/>
      <scheme val="minor"/>
    </font>
    <font>
      <sz val="9"/>
      <color rgb="FF009999"/>
      <name val="Verdana"/>
      <family val="2"/>
    </font>
    <font>
      <u/>
      <sz val="11"/>
      <color theme="10"/>
      <name val="Calibri"/>
      <family val="2"/>
      <scheme val="minor"/>
    </font>
    <font>
      <sz val="11"/>
      <color rgb="FF009999"/>
      <name val="Calibri"/>
      <family val="2"/>
      <scheme val="minor"/>
    </font>
    <font>
      <sz val="9"/>
      <color theme="0" tint="-0.499984740745262"/>
      <name val="Calibri"/>
      <family val="2"/>
      <scheme val="minor"/>
    </font>
    <font>
      <sz val="9"/>
      <color theme="1"/>
      <name val="Verdana"/>
      <family val="2"/>
    </font>
    <font>
      <sz val="9"/>
      <color theme="0" tint="-0.499984740745262"/>
      <name val="Verdana"/>
      <family val="2"/>
    </font>
    <font>
      <sz val="14"/>
      <color theme="4" tint="-0.249977111117893"/>
      <name val="Verdana"/>
      <family val="2"/>
    </font>
    <font>
      <sz val="14"/>
      <color theme="1"/>
      <name val="Verdana"/>
      <family val="2"/>
    </font>
    <font>
      <sz val="9"/>
      <name val="Calibri"/>
      <family val="2"/>
      <scheme val="minor"/>
    </font>
    <font>
      <sz val="9"/>
      <color theme="9" tint="0.59999389629810485"/>
      <name val="Verdana"/>
      <family val="2"/>
    </font>
    <font>
      <sz val="9"/>
      <name val="Verdana"/>
      <family val="2"/>
    </font>
    <font>
      <b/>
      <sz val="12"/>
      <color theme="9" tint="-0.499984740745262"/>
      <name val="Verdana"/>
      <family val="2"/>
    </font>
    <font>
      <sz val="18"/>
      <color theme="9" tint="0.79998168889431442"/>
      <name val="Verdana"/>
      <family val="2"/>
    </font>
    <font>
      <sz val="14"/>
      <color rgb="FFFF0000"/>
      <name val="Verdana"/>
      <family val="2"/>
    </font>
    <font>
      <b/>
      <sz val="10"/>
      <color theme="1"/>
      <name val="Verdana"/>
      <family val="2"/>
    </font>
    <font>
      <b/>
      <sz val="9"/>
      <color theme="1"/>
      <name val="Verdana"/>
      <family val="2"/>
    </font>
    <font>
      <sz val="12"/>
      <color theme="4" tint="-0.249977111117893"/>
      <name val="Verdana"/>
      <family val="2"/>
    </font>
    <font>
      <sz val="11"/>
      <name val="Calibri"/>
      <family val="2"/>
      <scheme val="minor"/>
    </font>
    <font>
      <sz val="12"/>
      <color rgb="FFFF0000"/>
      <name val="Arial"/>
      <family val="2"/>
    </font>
    <font>
      <sz val="11"/>
      <color theme="0"/>
      <name val="Calibri"/>
      <family val="2"/>
      <scheme val="minor"/>
    </font>
    <font>
      <b/>
      <sz val="11"/>
      <name val="Calibri"/>
      <family val="2"/>
      <scheme val="minor"/>
    </font>
    <font>
      <sz val="11"/>
      <color rgb="FFFF0000"/>
      <name val="Calibri"/>
      <family val="2"/>
      <scheme val="minor"/>
    </font>
    <font>
      <sz val="11"/>
      <color rgb="FF9C0006"/>
      <name val="Calibri"/>
      <family val="2"/>
      <scheme val="minor"/>
    </font>
    <font>
      <b/>
      <sz val="11"/>
      <color theme="1"/>
      <name val="Calibri"/>
      <family val="2"/>
      <scheme val="minor"/>
    </font>
    <font>
      <sz val="9"/>
      <color rgb="FF212529"/>
      <name val="Calibri"/>
      <family val="2"/>
    </font>
    <font>
      <sz val="9"/>
      <color rgb="FF000000"/>
      <name val="Calibri"/>
      <family val="2"/>
    </font>
    <font>
      <sz val="8.5"/>
      <color theme="1"/>
      <name val="Verdana"/>
      <family val="2"/>
    </font>
    <font>
      <b/>
      <sz val="11"/>
      <color theme="0"/>
      <name val="Calibri"/>
      <family val="2"/>
      <scheme val="minor"/>
    </font>
    <font>
      <b/>
      <vertAlign val="superscript"/>
      <sz val="11"/>
      <color theme="0"/>
      <name val="Calibri"/>
      <family val="2"/>
      <scheme val="minor"/>
    </font>
    <font>
      <b/>
      <sz val="14"/>
      <color theme="1"/>
      <name val="Verdana"/>
      <family val="2"/>
    </font>
    <font>
      <sz val="8.5"/>
      <color theme="0"/>
      <name val="Verdana"/>
      <family val="2"/>
    </font>
    <font>
      <b/>
      <sz val="8.5"/>
      <color theme="1"/>
      <name val="Verdana"/>
      <family val="2"/>
    </font>
    <font>
      <b/>
      <sz val="14"/>
      <color theme="1"/>
      <name val="Calibri"/>
      <family val="2"/>
      <scheme val="minor"/>
    </font>
    <font>
      <sz val="12"/>
      <name val="Verdana"/>
      <family val="2"/>
    </font>
    <font>
      <sz val="9"/>
      <color rgb="FFFF0000"/>
      <name val="Calibri"/>
      <family val="2"/>
      <scheme val="minor"/>
    </font>
    <font>
      <b/>
      <sz val="9"/>
      <color theme="1"/>
      <name val="Calibri"/>
      <family val="2"/>
      <scheme val="minor"/>
    </font>
    <font>
      <i/>
      <sz val="10"/>
      <color theme="4" tint="-0.249977111117893"/>
      <name val="Verdana"/>
      <family val="2"/>
    </font>
    <font>
      <i/>
      <sz val="10"/>
      <color theme="4" tint="-0.249977111117893"/>
      <name val="Calibri"/>
      <family val="2"/>
      <scheme val="minor"/>
    </font>
    <font>
      <i/>
      <sz val="10"/>
      <color theme="1"/>
      <name val="Verdana"/>
      <family val="2"/>
    </font>
    <font>
      <i/>
      <sz val="10"/>
      <color theme="1"/>
      <name val="Calibri"/>
      <family val="2"/>
      <scheme val="minor"/>
    </font>
    <font>
      <i/>
      <sz val="11"/>
      <name val="Calibri"/>
      <family val="2"/>
      <scheme val="minor"/>
    </font>
    <font>
      <sz val="9"/>
      <color theme="4" tint="-0.249977111117893"/>
      <name val="Verdana"/>
      <family val="2"/>
    </font>
    <font>
      <u/>
      <sz val="14"/>
      <color theme="10"/>
      <name val="Calibri"/>
      <family val="2"/>
      <scheme val="minor"/>
    </font>
    <font>
      <i/>
      <sz val="11"/>
      <color rgb="FFFF0000"/>
      <name val="Calibri"/>
      <family val="2"/>
      <scheme val="minor"/>
    </font>
    <font>
      <sz val="14"/>
      <color rgb="FF009999"/>
      <name val="Calibri"/>
      <family val="2"/>
      <scheme val="minor"/>
    </font>
    <font>
      <sz val="9"/>
      <color theme="0"/>
      <name val="Verdana"/>
      <family val="2"/>
    </font>
    <font>
      <sz val="11"/>
      <color theme="4" tint="-0.249977111117893"/>
      <name val="Calibri"/>
      <family val="2"/>
      <scheme val="minor"/>
    </font>
    <font>
      <b/>
      <sz val="11"/>
      <color theme="9" tint="0.59999389629810485"/>
      <name val="Calibri"/>
      <family val="2"/>
      <scheme val="minor"/>
    </font>
    <font>
      <sz val="11"/>
      <color theme="9" tint="0.59999389629810485"/>
      <name val="Calibri"/>
      <family val="2"/>
      <scheme val="minor"/>
    </font>
    <font>
      <b/>
      <vertAlign val="superscript"/>
      <sz val="11"/>
      <color theme="9" tint="0.59999389629810485"/>
      <name val="Calibri"/>
      <family val="2"/>
      <scheme val="minor"/>
    </font>
    <font>
      <b/>
      <sz val="9"/>
      <color theme="9" tint="0.59999389629810485"/>
      <name val="Verdana"/>
      <family val="2"/>
    </font>
  </fonts>
  <fills count="26">
    <fill>
      <patternFill patternType="none"/>
    </fill>
    <fill>
      <patternFill patternType="gray125"/>
    </fill>
    <fill>
      <patternFill patternType="solid">
        <fgColor rgb="FFFFFFFF"/>
        <bgColor indexed="64"/>
      </patternFill>
    </fill>
    <fill>
      <patternFill patternType="solid">
        <fgColor rgb="FFBFE0E3"/>
        <bgColor indexed="64"/>
      </patternFill>
    </fill>
    <fill>
      <patternFill patternType="solid">
        <fgColor rgb="FFFFEB9C"/>
      </patternFill>
    </fill>
    <fill>
      <patternFill patternType="solid">
        <fgColor rgb="FFF2F2F2"/>
      </patternFill>
    </fill>
    <fill>
      <patternFill patternType="solid">
        <fgColor theme="9" tint="0.59999389629810485"/>
        <bgColor indexed="65"/>
      </patternFill>
    </fill>
    <fill>
      <patternFill patternType="solid">
        <fgColor theme="9" tint="0.79998168889431442"/>
        <bgColor indexed="64"/>
      </patternFill>
    </fill>
    <fill>
      <patternFill patternType="solid">
        <fgColor theme="8" tint="-0.49998474074526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7"/>
      </patternFill>
    </fill>
    <fill>
      <patternFill patternType="solid">
        <fgColor rgb="FFFFC7CE"/>
      </patternFill>
    </fill>
    <fill>
      <patternFill patternType="solid">
        <fgColor theme="9" tint="0.79998168889431442"/>
        <bgColor indexed="65"/>
      </patternFill>
    </fill>
    <fill>
      <patternFill patternType="solid">
        <fgColor rgb="FFDDEBF7"/>
        <bgColor indexed="64"/>
      </patternFill>
    </fill>
    <fill>
      <patternFill patternType="solid">
        <fgColor theme="0"/>
        <bgColor indexed="64"/>
      </patternFill>
    </fill>
    <fill>
      <patternFill patternType="solid">
        <fgColor rgb="FFFFCC99"/>
      </patternFill>
    </fill>
    <fill>
      <patternFill patternType="solid">
        <fgColor rgb="FF8DB4E2"/>
        <bgColor indexed="64"/>
      </patternFill>
    </fill>
    <fill>
      <patternFill patternType="solid">
        <fgColor theme="4" tint="0.59999389629810485"/>
        <bgColor indexed="64"/>
      </patternFill>
    </fill>
    <fill>
      <patternFill patternType="solid">
        <fgColor rgb="FFA5A5A5"/>
      </patternFill>
    </fill>
    <fill>
      <patternFill patternType="solid">
        <fgColor theme="7" tint="0.59999389629810485"/>
        <bgColor indexed="65"/>
      </patternFill>
    </fill>
    <fill>
      <patternFill patternType="solid">
        <fgColor theme="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249977111117893"/>
        <bgColor indexed="64"/>
      </patternFill>
    </fill>
  </fills>
  <borders count="56">
    <border>
      <left/>
      <right/>
      <top/>
      <bottom/>
      <diagonal/>
    </border>
    <border>
      <left style="medium">
        <color rgb="FF7FC1C7"/>
      </left>
      <right style="medium">
        <color rgb="FF7FC1C7"/>
      </right>
      <top style="medium">
        <color rgb="FF7FC1C7"/>
      </top>
      <bottom style="medium">
        <color rgb="FF7FC1C7"/>
      </bottom>
      <diagonal/>
    </border>
    <border>
      <left style="medium">
        <color rgb="FF7FC1C7"/>
      </left>
      <right style="medium">
        <color rgb="FF7FC1C7"/>
      </right>
      <top style="medium">
        <color rgb="FF7FC1C7"/>
      </top>
      <bottom/>
      <diagonal/>
    </border>
    <border>
      <left style="medium">
        <color rgb="FF7FC1C7"/>
      </left>
      <right style="medium">
        <color rgb="FF7FC1C7"/>
      </right>
      <top/>
      <bottom/>
      <diagonal/>
    </border>
    <border>
      <left style="medium">
        <color rgb="FF7FC1C7"/>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rgb="FF000000"/>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theme="2"/>
      </left>
      <right style="thin">
        <color theme="2"/>
      </right>
      <top style="thin">
        <color theme="2"/>
      </top>
      <bottom style="thin">
        <color theme="2"/>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theme="4" tint="0.39997558519241921"/>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theme="4" tint="0.39997558519241921"/>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theme="2"/>
      </left>
      <right/>
      <top/>
      <bottom style="thin">
        <color theme="2"/>
      </bottom>
      <diagonal/>
    </border>
  </borders>
  <cellStyleXfs count="13">
    <xf numFmtId="0" fontId="0" fillId="0" borderId="0"/>
    <xf numFmtId="0" fontId="3" fillId="4" borderId="0" applyNumberFormat="0" applyBorder="0" applyAlignment="0" applyProtection="0"/>
    <xf numFmtId="43" fontId="4" fillId="0" borderId="0" applyFont="0" applyFill="0" applyBorder="0" applyAlignment="0" applyProtection="0"/>
    <xf numFmtId="0" fontId="5" fillId="5" borderId="5" applyNumberFormat="0" applyAlignment="0" applyProtection="0"/>
    <xf numFmtId="0" fontId="4" fillId="6" borderId="0" applyNumberFormat="0" applyBorder="0" applyAlignment="0" applyProtection="0"/>
    <xf numFmtId="0" fontId="6" fillId="0" borderId="0"/>
    <xf numFmtId="0" fontId="8" fillId="0" borderId="0" applyNumberFormat="0" applyFill="0" applyBorder="0" applyAlignment="0" applyProtection="0"/>
    <xf numFmtId="0" fontId="26" fillId="12" borderId="0" applyNumberFormat="0" applyBorder="0" applyAlignment="0" applyProtection="0"/>
    <xf numFmtId="0" fontId="29" fillId="13" borderId="0" applyNumberFormat="0" applyBorder="0" applyAlignment="0" applyProtection="0"/>
    <xf numFmtId="0" fontId="4" fillId="14" borderId="0" applyNumberFormat="0" applyBorder="0" applyAlignment="0" applyProtection="0"/>
    <xf numFmtId="9" fontId="4" fillId="0" borderId="0" applyFont="0" applyFill="0" applyBorder="0" applyAlignment="0" applyProtection="0"/>
    <xf numFmtId="0" fontId="34" fillId="20" borderId="23" applyNumberFormat="0" applyAlignment="0" applyProtection="0"/>
    <xf numFmtId="0" fontId="4" fillId="21" borderId="0" applyNumberFormat="0" applyBorder="0" applyAlignment="0" applyProtection="0"/>
  </cellStyleXfs>
  <cellXfs count="353">
    <xf numFmtId="0" fontId="0" fillId="0" borderId="0" xfId="0"/>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2" fillId="3" borderId="2" xfId="0" applyFont="1" applyFill="1" applyBorder="1" applyAlignment="1">
      <alignment vertical="center" wrapText="1"/>
    </xf>
    <xf numFmtId="0" fontId="1" fillId="2" borderId="3" xfId="0" applyFont="1" applyFill="1" applyBorder="1" applyAlignment="1">
      <alignment vertical="center" wrapText="1"/>
    </xf>
    <xf numFmtId="0" fontId="1" fillId="3" borderId="3" xfId="0" applyFont="1" applyFill="1" applyBorder="1" applyAlignment="1">
      <alignment vertical="center" wrapText="1"/>
    </xf>
    <xf numFmtId="0" fontId="2" fillId="3" borderId="2" xfId="0" applyFont="1" applyFill="1" applyBorder="1" applyAlignment="1">
      <alignment vertical="center"/>
    </xf>
    <xf numFmtId="0" fontId="2" fillId="3" borderId="4" xfId="0" applyFont="1" applyFill="1" applyBorder="1" applyAlignment="1">
      <alignment vertical="center"/>
    </xf>
    <xf numFmtId="0" fontId="7" fillId="7" borderId="0" xfId="5" applyFont="1" applyFill="1"/>
    <xf numFmtId="0" fontId="10" fillId="7" borderId="0" xfId="0" applyFont="1" applyFill="1" applyAlignment="1" applyProtection="1">
      <alignment horizontal="left"/>
      <protection hidden="1"/>
    </xf>
    <xf numFmtId="0" fontId="12" fillId="7" borderId="0" xfId="5" applyFont="1" applyFill="1" applyProtection="1">
      <protection hidden="1"/>
    </xf>
    <xf numFmtId="0" fontId="10" fillId="7" borderId="0" xfId="0" applyFont="1" applyFill="1" applyAlignment="1" applyProtection="1">
      <alignment vertical="top" wrapText="1"/>
      <protection hidden="1"/>
    </xf>
    <xf numFmtId="0" fontId="10" fillId="7" borderId="0" xfId="0" applyFont="1" applyFill="1" applyAlignment="1" applyProtection="1">
      <alignment horizontal="right"/>
      <protection hidden="1"/>
    </xf>
    <xf numFmtId="0" fontId="10" fillId="7" borderId="0" xfId="0" applyFont="1" applyFill="1" applyAlignment="1" applyProtection="1">
      <alignment horizontal="right" vertical="top"/>
      <protection hidden="1"/>
    </xf>
    <xf numFmtId="0" fontId="11" fillId="7" borderId="0" xfId="5" applyFont="1" applyFill="1"/>
    <xf numFmtId="0" fontId="10" fillId="7" borderId="0" xfId="0" applyFont="1" applyFill="1" applyAlignment="1" applyProtection="1">
      <alignment horizontal="left" vertical="top"/>
      <protection hidden="1"/>
    </xf>
    <xf numFmtId="0" fontId="13" fillId="7" borderId="0" xfId="5" applyFont="1" applyFill="1"/>
    <xf numFmtId="0" fontId="13" fillId="7" borderId="0" xfId="5" applyFont="1" applyFill="1" applyAlignment="1">
      <alignment vertical="center"/>
    </xf>
    <xf numFmtId="0" fontId="14" fillId="7" borderId="0" xfId="5" applyFont="1" applyFill="1"/>
    <xf numFmtId="0" fontId="15" fillId="7" borderId="0" xfId="0" applyFont="1" applyFill="1" applyAlignment="1" applyProtection="1">
      <alignment horizontal="right"/>
      <protection hidden="1"/>
    </xf>
    <xf numFmtId="0" fontId="11" fillId="8" borderId="0" xfId="5" applyFont="1" applyFill="1"/>
    <xf numFmtId="0" fontId="11" fillId="7" borderId="0" xfId="5" applyFont="1" applyFill="1" applyAlignment="1">
      <alignment vertical="center"/>
    </xf>
    <xf numFmtId="0" fontId="10" fillId="7" borderId="0" xfId="0" applyFont="1" applyFill="1" applyAlignment="1">
      <alignment horizontal="right" vertical="top"/>
    </xf>
    <xf numFmtId="0" fontId="16" fillId="7" borderId="0" xfId="5" applyFont="1" applyFill="1"/>
    <xf numFmtId="0" fontId="17" fillId="7" borderId="0" xfId="5" applyFont="1" applyFill="1"/>
    <xf numFmtId="0" fontId="11" fillId="9" borderId="0" xfId="5" applyFont="1" applyFill="1" applyBorder="1" applyAlignment="1">
      <alignment horizontal="center" vertical="center"/>
    </xf>
    <xf numFmtId="0" fontId="11" fillId="9" borderId="0" xfId="5" applyFont="1" applyFill="1" applyAlignment="1">
      <alignment horizontal="left" vertical="center" wrapText="1"/>
    </xf>
    <xf numFmtId="0" fontId="11" fillId="10" borderId="6" xfId="5" applyFont="1" applyFill="1" applyBorder="1" applyAlignment="1" applyProtection="1">
      <alignment horizontal="center" vertical="center"/>
      <protection locked="0"/>
    </xf>
    <xf numFmtId="0" fontId="16" fillId="9" borderId="0" xfId="5" applyFont="1" applyFill="1" applyAlignment="1" applyProtection="1">
      <alignment horizontal="center"/>
      <protection hidden="1"/>
    </xf>
    <xf numFmtId="0" fontId="16" fillId="9" borderId="0" xfId="5" applyFont="1" applyFill="1" applyAlignment="1" applyProtection="1">
      <alignment horizontal="center" vertical="center"/>
      <protection hidden="1"/>
    </xf>
    <xf numFmtId="0" fontId="18" fillId="7" borderId="0" xfId="5" applyFont="1" applyFill="1" applyAlignment="1" applyProtection="1">
      <alignment vertical="center"/>
      <protection hidden="1"/>
    </xf>
    <xf numFmtId="1" fontId="19" fillId="7" borderId="0" xfId="5" applyNumberFormat="1" applyFont="1" applyFill="1" applyAlignment="1" applyProtection="1">
      <alignment horizontal="right" vertical="center" indent="2"/>
      <protection hidden="1"/>
    </xf>
    <xf numFmtId="0" fontId="18" fillId="7" borderId="0" xfId="5" applyFont="1" applyFill="1" applyAlignment="1">
      <alignment vertical="center"/>
    </xf>
    <xf numFmtId="1" fontId="19" fillId="7" borderId="0" xfId="5" applyNumberFormat="1" applyFont="1" applyFill="1" applyAlignment="1">
      <alignment horizontal="right" vertical="center" indent="2"/>
    </xf>
    <xf numFmtId="0" fontId="20" fillId="7" borderId="0" xfId="5" applyFont="1" applyFill="1"/>
    <xf numFmtId="0" fontId="13" fillId="7" borderId="0" xfId="5" applyFont="1" applyFill="1" applyAlignment="1" applyProtection="1">
      <alignment horizontal="left" vertical="center"/>
      <protection hidden="1"/>
    </xf>
    <xf numFmtId="0" fontId="11" fillId="7" borderId="0" xfId="5" applyFont="1" applyFill="1" applyAlignment="1" applyProtection="1">
      <protection hidden="1"/>
    </xf>
    <xf numFmtId="0" fontId="11" fillId="9" borderId="0" xfId="5" applyFont="1" applyFill="1" applyBorder="1" applyAlignment="1" applyProtection="1">
      <alignment horizontal="center" vertical="center"/>
      <protection hidden="1"/>
    </xf>
    <xf numFmtId="0" fontId="11" fillId="9" borderId="0" xfId="5" applyFont="1" applyFill="1" applyAlignment="1" applyProtection="1">
      <alignment horizontal="left" vertical="center" wrapText="1"/>
      <protection hidden="1"/>
    </xf>
    <xf numFmtId="0" fontId="11" fillId="7" borderId="0" xfId="5" applyFont="1" applyFill="1" applyAlignment="1">
      <alignment horizontal="center" vertical="center"/>
    </xf>
    <xf numFmtId="0" fontId="11" fillId="9" borderId="0" xfId="5" applyFont="1" applyFill="1" applyAlignment="1" applyProtection="1">
      <alignment horizontal="left" vertical="center"/>
      <protection hidden="1"/>
    </xf>
    <xf numFmtId="0" fontId="21" fillId="9" borderId="7" xfId="5" applyFont="1" applyFill="1" applyBorder="1" applyAlignment="1" applyProtection="1">
      <alignment horizontal="left" vertical="center"/>
      <protection hidden="1"/>
    </xf>
    <xf numFmtId="0" fontId="11" fillId="9" borderId="8" xfId="5" applyFont="1" applyFill="1" applyBorder="1" applyAlignment="1" applyProtection="1">
      <alignment horizontal="left" vertical="center"/>
      <protection hidden="1"/>
    </xf>
    <xf numFmtId="0" fontId="22" fillId="9" borderId="9" xfId="5" applyFont="1" applyFill="1" applyBorder="1" applyAlignment="1" applyProtection="1">
      <alignment horizontal="left" vertical="center"/>
      <protection hidden="1"/>
    </xf>
    <xf numFmtId="166" fontId="11" fillId="10" borderId="6" xfId="2" applyNumberFormat="1" applyFont="1" applyFill="1" applyBorder="1" applyAlignment="1" applyProtection="1">
      <alignment horizontal="center" vertical="center"/>
      <protection locked="0"/>
    </xf>
    <xf numFmtId="0" fontId="23" fillId="7" borderId="0" xfId="5" applyFont="1" applyFill="1" applyProtection="1">
      <protection hidden="1"/>
    </xf>
    <xf numFmtId="0" fontId="11" fillId="7" borderId="0" xfId="5" applyFont="1" applyFill="1" applyAlignment="1" applyProtection="1">
      <alignment horizontal="center" vertical="center"/>
      <protection hidden="1"/>
    </xf>
    <xf numFmtId="0" fontId="23" fillId="7" borderId="0" xfId="5" applyFont="1" applyFill="1"/>
    <xf numFmtId="0" fontId="21" fillId="9" borderId="0" xfId="5" applyFont="1" applyFill="1" applyBorder="1" applyAlignment="1">
      <alignment vertical="center"/>
    </xf>
    <xf numFmtId="0" fontId="11" fillId="9" borderId="0" xfId="5" applyFont="1" applyFill="1" applyBorder="1" applyAlignment="1"/>
    <xf numFmtId="165" fontId="21" fillId="9" borderId="0" xfId="2" applyNumberFormat="1" applyFont="1" applyFill="1" applyBorder="1" applyAlignment="1">
      <alignment vertical="center"/>
    </xf>
    <xf numFmtId="0" fontId="11" fillId="11" borderId="0" xfId="5" applyFont="1" applyFill="1"/>
    <xf numFmtId="0" fontId="11" fillId="7" borderId="0" xfId="5" applyFont="1" applyFill="1" applyAlignment="1"/>
    <xf numFmtId="0" fontId="11" fillId="9" borderId="0" xfId="5" applyFont="1" applyFill="1"/>
    <xf numFmtId="0" fontId="11" fillId="9" borderId="0" xfId="5" applyFont="1" applyFill="1" applyAlignment="1">
      <alignment vertical="center" wrapText="1"/>
    </xf>
    <xf numFmtId="0" fontId="23" fillId="7" borderId="0" xfId="5" applyFont="1" applyFill="1" applyAlignment="1"/>
    <xf numFmtId="0" fontId="11" fillId="7" borderId="0" xfId="5" quotePrefix="1" applyFont="1" applyFill="1" applyAlignment="1">
      <alignment horizontal="left" vertical="center" wrapText="1"/>
    </xf>
    <xf numFmtId="0" fontId="11" fillId="9" borderId="0" xfId="5" applyFont="1" applyFill="1" applyBorder="1" applyAlignment="1">
      <alignment horizontal="center" vertical="center" wrapText="1"/>
    </xf>
    <xf numFmtId="0" fontId="11" fillId="7" borderId="0" xfId="5" applyFont="1" applyFill="1" applyAlignment="1">
      <alignment vertical="center" wrapText="1"/>
    </xf>
    <xf numFmtId="0" fontId="11" fillId="9" borderId="0" xfId="5" applyFont="1" applyFill="1" applyAlignment="1" applyProtection="1">
      <alignment vertical="center" wrapText="1"/>
      <protection locked="0"/>
    </xf>
    <xf numFmtId="166" fontId="4" fillId="6" borderId="0" xfId="4" applyNumberFormat="1" applyBorder="1" applyAlignment="1" applyProtection="1">
      <alignment horizontal="center" vertical="center"/>
      <protection hidden="1"/>
    </xf>
    <xf numFmtId="0" fontId="6" fillId="0" borderId="0" xfId="5"/>
    <xf numFmtId="0" fontId="11" fillId="9" borderId="0" xfId="5" applyFont="1" applyFill="1" applyAlignment="1" applyProtection="1">
      <alignment horizontal="left" vertical="center" wrapText="1"/>
      <protection hidden="1"/>
    </xf>
    <xf numFmtId="0" fontId="11" fillId="7" borderId="0" xfId="5" applyFont="1" applyFill="1" applyAlignment="1">
      <alignment horizontal="center" vertical="center"/>
    </xf>
    <xf numFmtId="0" fontId="11" fillId="9" borderId="0" xfId="5" applyFont="1" applyFill="1" applyBorder="1" applyAlignment="1" applyProtection="1">
      <alignment horizontal="left" vertical="center"/>
      <protection hidden="1"/>
    </xf>
    <xf numFmtId="166" fontId="4" fillId="6" borderId="11" xfId="4" applyNumberFormat="1" applyBorder="1" applyAlignment="1" applyProtection="1">
      <alignment horizontal="center" vertical="center"/>
      <protection hidden="1"/>
    </xf>
    <xf numFmtId="0" fontId="25" fillId="2" borderId="1" xfId="0" applyFont="1" applyFill="1" applyBorder="1" applyAlignment="1">
      <alignment vertical="center" wrapText="1"/>
    </xf>
    <xf numFmtId="0" fontId="25" fillId="3" borderId="1" xfId="0" applyFont="1" applyFill="1" applyBorder="1" applyAlignment="1">
      <alignment vertical="center" wrapText="1"/>
    </xf>
    <xf numFmtId="0" fontId="4" fillId="6" borderId="0" xfId="4"/>
    <xf numFmtId="2" fontId="0" fillId="0" borderId="0" xfId="0" applyNumberFormat="1"/>
    <xf numFmtId="2" fontId="28" fillId="0" borderId="0" xfId="0" applyNumberFormat="1" applyFont="1"/>
    <xf numFmtId="0" fontId="29" fillId="13" borderId="1" xfId="8" applyBorder="1" applyAlignment="1">
      <alignment vertical="center" wrapText="1"/>
    </xf>
    <xf numFmtId="0" fontId="0" fillId="6" borderId="0" xfId="4" applyFont="1"/>
    <xf numFmtId="0" fontId="29" fillId="13" borderId="0" xfId="8"/>
    <xf numFmtId="0" fontId="4" fillId="14" borderId="0" xfId="9"/>
    <xf numFmtId="0" fontId="0" fillId="0" borderId="0" xfId="0" applyNumberFormat="1"/>
    <xf numFmtId="0" fontId="0" fillId="0" borderId="6" xfId="0" applyBorder="1"/>
    <xf numFmtId="43" fontId="33" fillId="0" borderId="0" xfId="2" applyFont="1" applyAlignment="1" applyProtection="1">
      <alignment horizontal="left" vertical="center" indent="1"/>
      <protection locked="0"/>
    </xf>
    <xf numFmtId="43" fontId="33" fillId="18" borderId="0" xfId="2" applyFont="1" applyFill="1" applyAlignment="1" applyProtection="1">
      <alignment horizontal="left" vertical="center" indent="1"/>
      <protection hidden="1"/>
    </xf>
    <xf numFmtId="43" fontId="33" fillId="0" borderId="0" xfId="2" applyFont="1" applyAlignment="1" applyProtection="1">
      <alignment horizontal="left" vertical="center" indent="1"/>
      <protection hidden="1"/>
    </xf>
    <xf numFmtId="43" fontId="33" fillId="17" borderId="5" xfId="2" applyFont="1" applyFill="1" applyBorder="1" applyAlignment="1" applyProtection="1">
      <alignment horizontal="left" vertical="center" indent="1"/>
      <protection hidden="1"/>
    </xf>
    <xf numFmtId="43" fontId="33" fillId="0" borderId="0" xfId="2" applyFont="1" applyProtection="1">
      <protection hidden="1"/>
    </xf>
    <xf numFmtId="43" fontId="33" fillId="18" borderId="0" xfId="2" applyFont="1" applyFill="1" applyAlignment="1" applyProtection="1">
      <alignment horizontal="left" vertical="center" indent="1"/>
      <protection locked="0"/>
    </xf>
    <xf numFmtId="0" fontId="33" fillId="0" borderId="0" xfId="2" applyNumberFormat="1" applyFont="1" applyAlignment="1" applyProtection="1">
      <alignment horizontal="left" vertical="center" indent="1"/>
      <protection hidden="1"/>
    </xf>
    <xf numFmtId="43" fontId="33" fillId="19" borderId="0" xfId="2" applyFont="1" applyFill="1" applyAlignment="1" applyProtection="1">
      <alignment horizontal="left" vertical="center" indent="1"/>
      <protection hidden="1"/>
    </xf>
    <xf numFmtId="43" fontId="33" fillId="19" borderId="0" xfId="2" applyNumberFormat="1" applyFont="1" applyFill="1" applyAlignment="1" applyProtection="1">
      <alignment horizontal="left" vertical="center" indent="1"/>
      <protection hidden="1"/>
    </xf>
    <xf numFmtId="43" fontId="33" fillId="0" borderId="0" xfId="2" applyNumberFormat="1" applyFont="1" applyAlignment="1" applyProtection="1">
      <alignment horizontal="left" vertical="center" indent="1"/>
      <protection hidden="1"/>
    </xf>
    <xf numFmtId="4" fontId="24" fillId="4" borderId="6" xfId="1" applyNumberFormat="1" applyFont="1" applyBorder="1" applyAlignment="1" applyProtection="1">
      <alignment horizontal="right" vertical="center"/>
    </xf>
    <xf numFmtId="2" fontId="24" fillId="4" borderId="10" xfId="1" applyNumberFormat="1" applyFont="1" applyBorder="1" applyAlignment="1" applyProtection="1">
      <alignment horizontal="right" vertical="center"/>
    </xf>
    <xf numFmtId="0" fontId="11" fillId="9" borderId="0" xfId="5" applyFont="1" applyFill="1" applyAlignment="1" applyProtection="1">
      <alignment horizontal="left" vertical="center" wrapText="1"/>
      <protection hidden="1"/>
    </xf>
    <xf numFmtId="167" fontId="11" fillId="10" borderId="6" xfId="2" applyNumberFormat="1" applyFont="1" applyFill="1" applyBorder="1" applyAlignment="1" applyProtection="1">
      <alignment horizontal="center" vertical="center" wrapText="1"/>
      <protection locked="0"/>
    </xf>
    <xf numFmtId="43" fontId="36" fillId="0" borderId="0" xfId="2" applyFont="1" applyAlignment="1" applyProtection="1">
      <alignment horizontal="left" vertical="center" indent="1"/>
      <protection hidden="1"/>
    </xf>
    <xf numFmtId="43" fontId="33" fillId="0" borderId="0" xfId="2" applyFont="1" applyFill="1" applyAlignment="1" applyProtection="1">
      <alignment horizontal="left" vertical="center" indent="1"/>
      <protection hidden="1"/>
    </xf>
    <xf numFmtId="43" fontId="37" fillId="0" borderId="0" xfId="2" applyFont="1" applyFill="1" applyAlignment="1" applyProtection="1">
      <alignment horizontal="left" vertical="center" indent="1"/>
      <protection hidden="1"/>
    </xf>
    <xf numFmtId="43" fontId="33" fillId="0" borderId="0" xfId="2" applyFont="1" applyAlignment="1" applyProtection="1">
      <alignment horizontal="left" vertical="center" wrapText="1" indent="1"/>
      <protection locked="0"/>
    </xf>
    <xf numFmtId="43" fontId="37" fillId="0" borderId="0" xfId="2" applyFont="1" applyAlignment="1" applyProtection="1">
      <alignment horizontal="left" vertical="center" indent="1"/>
      <protection hidden="1"/>
    </xf>
    <xf numFmtId="43" fontId="33" fillId="5" borderId="5" xfId="2" applyNumberFormat="1" applyFont="1" applyFill="1" applyBorder="1" applyAlignment="1" applyProtection="1">
      <alignment horizontal="left" vertical="center" indent="1"/>
    </xf>
    <xf numFmtId="43" fontId="33" fillId="5" borderId="5" xfId="2" applyNumberFormat="1" applyFont="1" applyFill="1" applyBorder="1" applyAlignment="1" applyProtection="1">
      <alignment horizontal="left" vertical="center" indent="1"/>
      <protection hidden="1"/>
    </xf>
    <xf numFmtId="43" fontId="33" fillId="22" borderId="0" xfId="2" applyFont="1" applyFill="1" applyAlignment="1" applyProtection="1">
      <alignment horizontal="left" vertical="center" indent="1"/>
      <protection hidden="1"/>
    </xf>
    <xf numFmtId="168" fontId="33" fillId="0" borderId="0" xfId="2" applyNumberFormat="1" applyFont="1" applyAlignment="1" applyProtection="1">
      <alignment horizontal="left" vertical="center" indent="1"/>
      <protection hidden="1"/>
    </xf>
    <xf numFmtId="43" fontId="33" fillId="5" borderId="5" xfId="2" applyFont="1" applyFill="1" applyBorder="1" applyAlignment="1" applyProtection="1">
      <alignment horizontal="left" vertical="center" indent="1"/>
    </xf>
    <xf numFmtId="43" fontId="33" fillId="5" borderId="5" xfId="2" applyFont="1" applyFill="1" applyBorder="1" applyAlignment="1" applyProtection="1">
      <alignment horizontal="left" vertical="center" indent="1"/>
      <protection hidden="1"/>
    </xf>
    <xf numFmtId="10" fontId="33" fillId="0" borderId="0" xfId="10" applyNumberFormat="1" applyFont="1" applyAlignment="1" applyProtection="1">
      <alignment horizontal="left" vertical="center" indent="1"/>
      <protection hidden="1"/>
    </xf>
    <xf numFmtId="10" fontId="33" fillId="0" borderId="0" xfId="2" applyNumberFormat="1" applyFont="1" applyAlignment="1" applyProtection="1">
      <alignment horizontal="left" vertical="center" indent="1"/>
      <protection hidden="1"/>
    </xf>
    <xf numFmtId="43" fontId="33" fillId="0" borderId="25" xfId="2" applyFont="1" applyBorder="1" applyAlignment="1" applyProtection="1">
      <alignment horizontal="left" vertical="center" indent="1"/>
      <protection hidden="1"/>
    </xf>
    <xf numFmtId="43" fontId="33" fillId="0" borderId="26" xfId="2" applyFont="1" applyBorder="1" applyAlignment="1" applyProtection="1">
      <alignment horizontal="left" vertical="center" indent="1"/>
      <protection hidden="1"/>
    </xf>
    <xf numFmtId="43" fontId="33" fillId="0" borderId="0" xfId="2" applyFont="1" applyBorder="1" applyAlignment="1" applyProtection="1">
      <alignment horizontal="left" vertical="center" indent="1"/>
      <protection hidden="1"/>
    </xf>
    <xf numFmtId="43" fontId="33" fillId="0" borderId="27" xfId="2" applyFont="1" applyBorder="1" applyAlignment="1" applyProtection="1">
      <alignment horizontal="left" vertical="center" indent="1"/>
      <protection hidden="1"/>
    </xf>
    <xf numFmtId="43" fontId="11" fillId="0" borderId="0" xfId="2" applyFont="1"/>
    <xf numFmtId="43" fontId="0" fillId="0" borderId="0" xfId="2" applyFont="1"/>
    <xf numFmtId="43" fontId="33" fillId="0" borderId="0" xfId="2" applyNumberFormat="1" applyFont="1" applyBorder="1" applyAlignment="1" applyProtection="1">
      <alignment horizontal="left" vertical="center" indent="1"/>
      <protection hidden="1"/>
    </xf>
    <xf numFmtId="43" fontId="11" fillId="0" borderId="0" xfId="2" applyFont="1" applyBorder="1"/>
    <xf numFmtId="43" fontId="11" fillId="10" borderId="0" xfId="2" applyFont="1" applyFill="1" applyBorder="1"/>
    <xf numFmtId="43" fontId="11" fillId="0" borderId="27" xfId="2" applyFont="1" applyBorder="1"/>
    <xf numFmtId="43" fontId="8" fillId="0" borderId="0" xfId="2" applyFont="1"/>
    <xf numFmtId="43" fontId="0" fillId="10" borderId="0" xfId="2" applyFont="1" applyFill="1" applyBorder="1"/>
    <xf numFmtId="43" fontId="33" fillId="0" borderId="28" xfId="2" applyFont="1" applyBorder="1" applyAlignment="1" applyProtection="1">
      <alignment horizontal="left" vertical="center" indent="1"/>
      <protection hidden="1"/>
    </xf>
    <xf numFmtId="43" fontId="33" fillId="0" borderId="29" xfId="2" applyFont="1" applyBorder="1" applyAlignment="1" applyProtection="1">
      <alignment horizontal="left" vertical="center" indent="1"/>
      <protection hidden="1"/>
    </xf>
    <xf numFmtId="43" fontId="33" fillId="0" borderId="30" xfId="2" applyFont="1" applyBorder="1" applyAlignment="1" applyProtection="1">
      <alignment horizontal="left" vertical="center" indent="1"/>
      <protection hidden="1"/>
    </xf>
    <xf numFmtId="43" fontId="11" fillId="0" borderId="28" xfId="2" applyFont="1" applyBorder="1"/>
    <xf numFmtId="43" fontId="11" fillId="10" borderId="29" xfId="2" applyFont="1" applyFill="1" applyBorder="1"/>
    <xf numFmtId="43" fontId="11" fillId="0" borderId="30" xfId="2" applyFont="1" applyBorder="1"/>
    <xf numFmtId="43" fontId="11" fillId="0" borderId="0" xfId="2" applyFont="1" applyAlignment="1" applyProtection="1">
      <alignment horizontal="left" vertical="center"/>
      <protection hidden="1"/>
    </xf>
    <xf numFmtId="43" fontId="33" fillId="0" borderId="0" xfId="2" applyFont="1" applyAlignment="1" applyProtection="1">
      <protection hidden="1"/>
    </xf>
    <xf numFmtId="43" fontId="38" fillId="0" borderId="0" xfId="2" applyFont="1" applyAlignment="1" applyProtection="1">
      <alignment horizontal="left" vertical="center" indent="1"/>
      <protection hidden="1"/>
    </xf>
    <xf numFmtId="9" fontId="33" fillId="0" borderId="27" xfId="10" applyFont="1" applyBorder="1" applyAlignment="1" applyProtection="1">
      <alignment horizontal="left" vertical="center" indent="1"/>
      <protection hidden="1"/>
    </xf>
    <xf numFmtId="0" fontId="30" fillId="0" borderId="31" xfId="0" applyFont="1" applyBorder="1"/>
    <xf numFmtId="3" fontId="0" fillId="0" borderId="32" xfId="0" applyNumberFormat="1" applyBorder="1"/>
    <xf numFmtId="0" fontId="30" fillId="0" borderId="33" xfId="0" applyFont="1" applyBorder="1"/>
    <xf numFmtId="43" fontId="0" fillId="0" borderId="34" xfId="0" applyNumberFormat="1" applyBorder="1"/>
    <xf numFmtId="0" fontId="0" fillId="0" borderId="17" xfId="0" applyBorder="1"/>
    <xf numFmtId="0" fontId="30" fillId="0" borderId="35" xfId="0" applyFont="1" applyBorder="1"/>
    <xf numFmtId="0" fontId="0" fillId="0" borderId="36" xfId="0" applyBorder="1"/>
    <xf numFmtId="0" fontId="0" fillId="0" borderId="13" xfId="0" applyBorder="1"/>
    <xf numFmtId="0" fontId="30" fillId="0" borderId="14" xfId="0" applyFont="1" applyBorder="1"/>
    <xf numFmtId="0" fontId="0" fillId="0" borderId="14" xfId="0" applyBorder="1"/>
    <xf numFmtId="0" fontId="0" fillId="0" borderId="15" xfId="0" applyBorder="1"/>
    <xf numFmtId="0" fontId="0" fillId="0" borderId="16" xfId="0" applyBorder="1"/>
    <xf numFmtId="0" fontId="0" fillId="0" borderId="0" xfId="0" applyBorder="1"/>
    <xf numFmtId="0" fontId="0" fillId="0" borderId="21" xfId="0" applyBorder="1"/>
    <xf numFmtId="0" fontId="31" fillId="15" borderId="37" xfId="0" applyFont="1" applyFill="1" applyBorder="1" applyAlignment="1">
      <alignment vertical="center" wrapText="1"/>
    </xf>
    <xf numFmtId="9" fontId="32" fillId="0" borderId="37" xfId="0" applyNumberFormat="1" applyFont="1" applyBorder="1" applyAlignment="1">
      <alignment horizontal="center" vertical="center"/>
    </xf>
    <xf numFmtId="9" fontId="32" fillId="0" borderId="38" xfId="0" applyNumberFormat="1" applyFont="1" applyBorder="1" applyAlignment="1">
      <alignment horizontal="center" vertical="center"/>
    </xf>
    <xf numFmtId="0" fontId="31" fillId="15" borderId="18" xfId="0" applyFont="1" applyFill="1" applyBorder="1" applyAlignment="1">
      <alignment vertical="center" wrapText="1"/>
    </xf>
    <xf numFmtId="9" fontId="32" fillId="0" borderId="18" xfId="0" applyNumberFormat="1" applyFont="1" applyBorder="1" applyAlignment="1">
      <alignment horizontal="center" vertical="center"/>
    </xf>
    <xf numFmtId="9" fontId="32" fillId="0" borderId="19" xfId="0" applyNumberFormat="1" applyFont="1" applyBorder="1" applyAlignment="1">
      <alignment horizontal="center" vertical="center"/>
    </xf>
    <xf numFmtId="0" fontId="31" fillId="15" borderId="18" xfId="0" quotePrefix="1" applyFont="1" applyFill="1" applyBorder="1" applyAlignment="1">
      <alignment vertical="center" wrapText="1"/>
    </xf>
    <xf numFmtId="9" fontId="32" fillId="0" borderId="17" xfId="0" applyNumberFormat="1" applyFont="1" applyBorder="1" applyAlignment="1">
      <alignment horizontal="center" vertical="center"/>
    </xf>
    <xf numFmtId="9" fontId="32" fillId="0" borderId="9" xfId="0" applyNumberFormat="1" applyFont="1" applyBorder="1" applyAlignment="1">
      <alignment horizontal="center" vertical="center"/>
    </xf>
    <xf numFmtId="0" fontId="30" fillId="0" borderId="0" xfId="0" applyFont="1" applyBorder="1"/>
    <xf numFmtId="0" fontId="0" fillId="0" borderId="20" xfId="0" applyBorder="1"/>
    <xf numFmtId="0" fontId="0" fillId="0" borderId="19" xfId="0" applyBorder="1"/>
    <xf numFmtId="0" fontId="31" fillId="15" borderId="12" xfId="0" applyFont="1" applyFill="1" applyBorder="1" applyAlignment="1">
      <alignment vertical="center" wrapText="1"/>
    </xf>
    <xf numFmtId="9" fontId="32" fillId="0" borderId="12" xfId="0" applyNumberFormat="1" applyFont="1" applyBorder="1" applyAlignment="1">
      <alignment horizontal="center" vertical="center"/>
    </xf>
    <xf numFmtId="0" fontId="0" fillId="16" borderId="0" xfId="0" applyFill="1" applyBorder="1"/>
    <xf numFmtId="0" fontId="31" fillId="16" borderId="0" xfId="0" applyFont="1" applyFill="1" applyBorder="1" applyAlignment="1">
      <alignment vertical="center" wrapText="1"/>
    </xf>
    <xf numFmtId="9" fontId="32" fillId="16" borderId="0" xfId="0" applyNumberFormat="1" applyFont="1" applyFill="1" applyBorder="1" applyAlignment="1">
      <alignment horizontal="center" vertical="center"/>
    </xf>
    <xf numFmtId="9" fontId="32" fillId="0" borderId="7" xfId="0" applyNumberFormat="1" applyFont="1" applyBorder="1" applyAlignment="1">
      <alignment horizontal="center" vertical="center"/>
    </xf>
    <xf numFmtId="9" fontId="32" fillId="0" borderId="0" xfId="0" applyNumberFormat="1" applyFont="1" applyBorder="1" applyAlignment="1">
      <alignment horizontal="center" vertical="center"/>
    </xf>
    <xf numFmtId="9" fontId="32" fillId="0" borderId="20" xfId="0" applyNumberFormat="1" applyFont="1" applyBorder="1" applyAlignment="1">
      <alignment horizontal="center" vertical="center"/>
    </xf>
    <xf numFmtId="0" fontId="31" fillId="15" borderId="22" xfId="0" applyFont="1" applyFill="1" applyBorder="1" applyAlignment="1">
      <alignment vertical="center" wrapText="1"/>
    </xf>
    <xf numFmtId="9" fontId="32" fillId="0" borderId="21" xfId="0" applyNumberFormat="1" applyFont="1" applyBorder="1" applyAlignment="1">
      <alignment horizontal="center" vertical="center"/>
    </xf>
    <xf numFmtId="0" fontId="11" fillId="0" borderId="0" xfId="2" applyNumberFormat="1" applyFont="1" applyBorder="1"/>
    <xf numFmtId="9" fontId="0" fillId="0" borderId="0" xfId="0" applyNumberFormat="1"/>
    <xf numFmtId="0" fontId="0" fillId="0" borderId="39" xfId="0" applyBorder="1"/>
    <xf numFmtId="43" fontId="11" fillId="0" borderId="39" xfId="2" applyFont="1" applyBorder="1"/>
    <xf numFmtId="3" fontId="0" fillId="0" borderId="0" xfId="0" applyNumberFormat="1"/>
    <xf numFmtId="10" fontId="0" fillId="0" borderId="0" xfId="0" applyNumberFormat="1"/>
    <xf numFmtId="10" fontId="0" fillId="0" borderId="39" xfId="0" applyNumberFormat="1" applyBorder="1"/>
    <xf numFmtId="0" fontId="30" fillId="0" borderId="0" xfId="0" applyFont="1"/>
    <xf numFmtId="43" fontId="0" fillId="0" borderId="39" xfId="2" applyFont="1" applyBorder="1"/>
    <xf numFmtId="43" fontId="33" fillId="0" borderId="39" xfId="2" applyFont="1" applyBorder="1" applyAlignment="1" applyProtection="1">
      <alignment horizontal="left" vertical="center" indent="1"/>
      <protection hidden="1"/>
    </xf>
    <xf numFmtId="0" fontId="34" fillId="23" borderId="13" xfId="0" applyFont="1" applyFill="1" applyBorder="1"/>
    <xf numFmtId="0" fontId="34" fillId="23" borderId="40" xfId="0" applyFont="1" applyFill="1" applyBorder="1"/>
    <xf numFmtId="0" fontId="34" fillId="23" borderId="41" xfId="0" applyFont="1" applyFill="1" applyBorder="1"/>
    <xf numFmtId="0" fontId="0" fillId="24" borderId="13" xfId="0" applyFont="1" applyFill="1" applyBorder="1"/>
    <xf numFmtId="9" fontId="0" fillId="24" borderId="40" xfId="10" applyNumberFormat="1" applyFont="1" applyFill="1" applyBorder="1"/>
    <xf numFmtId="0" fontId="0" fillId="24" borderId="15" xfId="0" applyFont="1" applyFill="1" applyBorder="1"/>
    <xf numFmtId="0" fontId="0" fillId="0" borderId="42" xfId="0" applyBorder="1"/>
    <xf numFmtId="0" fontId="0" fillId="0" borderId="43" xfId="0" applyBorder="1"/>
    <xf numFmtId="0" fontId="0" fillId="0" borderId="44" xfId="0" applyBorder="1"/>
    <xf numFmtId="0" fontId="0" fillId="0" borderId="45" xfId="0" applyFont="1" applyBorder="1"/>
    <xf numFmtId="9" fontId="0" fillId="0" borderId="24" xfId="10" applyNumberFormat="1" applyFont="1" applyBorder="1"/>
    <xf numFmtId="0" fontId="0" fillId="0" borderId="46" xfId="0" applyFont="1" applyBorder="1"/>
    <xf numFmtId="0" fontId="0" fillId="0" borderId="47" xfId="0" applyBorder="1"/>
    <xf numFmtId="0" fontId="0" fillId="0" borderId="48" xfId="0" applyBorder="1"/>
    <xf numFmtId="9" fontId="0" fillId="0" borderId="0" xfId="10" applyFont="1"/>
    <xf numFmtId="0" fontId="0" fillId="24" borderId="45" xfId="0" applyFont="1" applyFill="1" applyBorder="1"/>
    <xf numFmtId="9" fontId="0" fillId="24" borderId="24" xfId="10" applyNumberFormat="1" applyFont="1" applyFill="1" applyBorder="1"/>
    <xf numFmtId="0" fontId="0" fillId="24" borderId="46" xfId="0" applyFont="1" applyFill="1" applyBorder="1"/>
    <xf numFmtId="0" fontId="0" fillId="0" borderId="33" xfId="0" applyBorder="1"/>
    <xf numFmtId="9" fontId="0" fillId="0" borderId="49" xfId="10" applyFont="1" applyBorder="1"/>
    <xf numFmtId="9" fontId="0" fillId="0" borderId="34" xfId="10" applyFont="1" applyBorder="1"/>
    <xf numFmtId="0" fontId="0" fillId="24" borderId="50" xfId="0" applyFont="1" applyFill="1" applyBorder="1"/>
    <xf numFmtId="9" fontId="0" fillId="24" borderId="51" xfId="10" applyNumberFormat="1" applyFont="1" applyFill="1" applyBorder="1"/>
    <xf numFmtId="0" fontId="0" fillId="24" borderId="52" xfId="0" applyFont="1" applyFill="1" applyBorder="1"/>
    <xf numFmtId="0" fontId="0" fillId="0" borderId="35" xfId="0" applyBorder="1"/>
    <xf numFmtId="0" fontId="0" fillId="0" borderId="53" xfId="0" applyBorder="1"/>
    <xf numFmtId="169" fontId="0" fillId="0" borderId="0" xfId="10" applyNumberFormat="1" applyFont="1"/>
    <xf numFmtId="10" fontId="0" fillId="0" borderId="0" xfId="10" applyNumberFormat="1" applyFont="1"/>
    <xf numFmtId="0" fontId="34" fillId="23" borderId="15" xfId="0" applyFont="1" applyFill="1" applyBorder="1"/>
    <xf numFmtId="9" fontId="0" fillId="24" borderId="41" xfId="10" applyNumberFormat="1" applyFont="1" applyFill="1" applyBorder="1"/>
    <xf numFmtId="9" fontId="0" fillId="0" borderId="54" xfId="10" applyNumberFormat="1" applyFont="1" applyBorder="1"/>
    <xf numFmtId="9" fontId="0" fillId="24" borderId="54" xfId="10" applyNumberFormat="1" applyFont="1" applyFill="1" applyBorder="1"/>
    <xf numFmtId="9" fontId="0" fillId="24" borderId="36" xfId="10" applyNumberFormat="1" applyFont="1" applyFill="1" applyBorder="1"/>
    <xf numFmtId="0" fontId="11" fillId="0" borderId="0" xfId="5" applyFont="1"/>
    <xf numFmtId="0" fontId="0" fillId="16" borderId="39" xfId="0" applyFill="1" applyBorder="1"/>
    <xf numFmtId="0" fontId="11" fillId="0" borderId="0" xfId="5" applyFont="1" applyBorder="1"/>
    <xf numFmtId="0" fontId="11" fillId="25" borderId="0" xfId="5" applyFont="1" applyFill="1"/>
    <xf numFmtId="0" fontId="8" fillId="0" borderId="0" xfId="6"/>
    <xf numFmtId="170" fontId="0" fillId="0" borderId="0" xfId="0" applyNumberFormat="1"/>
    <xf numFmtId="10" fontId="11" fillId="0" borderId="0" xfId="10" applyNumberFormat="1" applyFont="1"/>
    <xf numFmtId="0" fontId="0" fillId="0" borderId="0" xfId="0" applyFill="1" applyBorder="1"/>
    <xf numFmtId="2" fontId="11" fillId="0" borderId="0" xfId="5" applyNumberFormat="1" applyFont="1"/>
    <xf numFmtId="3" fontId="11" fillId="0" borderId="0" xfId="5" applyNumberFormat="1" applyFont="1"/>
    <xf numFmtId="2" fontId="11" fillId="0" borderId="0" xfId="5" applyNumberFormat="1" applyFont="1" applyFill="1"/>
    <xf numFmtId="10" fontId="11" fillId="0" borderId="0" xfId="10" applyNumberFormat="1" applyFont="1" applyFill="1"/>
    <xf numFmtId="0" fontId="11" fillId="0" borderId="0" xfId="5" applyFont="1" applyFill="1"/>
    <xf numFmtId="0" fontId="11" fillId="16" borderId="39" xfId="5" applyFont="1" applyFill="1" applyBorder="1"/>
    <xf numFmtId="0" fontId="0" fillId="0" borderId="55" xfId="0" applyBorder="1"/>
    <xf numFmtId="0" fontId="11" fillId="0" borderId="39" xfId="5" applyFont="1" applyBorder="1"/>
    <xf numFmtId="0" fontId="22" fillId="0" borderId="0" xfId="5" applyFont="1"/>
    <xf numFmtId="10" fontId="22" fillId="0" borderId="0" xfId="10" applyNumberFormat="1" applyFont="1"/>
    <xf numFmtId="0" fontId="9" fillId="7" borderId="0" xfId="6" applyFont="1" applyFill="1" applyBorder="1" applyAlignment="1">
      <alignment vertical="center"/>
    </xf>
    <xf numFmtId="0" fontId="3" fillId="4" borderId="3" xfId="1" applyBorder="1" applyAlignment="1">
      <alignment vertical="center" wrapText="1"/>
    </xf>
    <xf numFmtId="0" fontId="4" fillId="6" borderId="0" xfId="4" applyBorder="1" applyAlignment="1" applyProtection="1">
      <alignment horizontal="right" vertical="center" wrapText="1"/>
      <protection locked="0"/>
    </xf>
    <xf numFmtId="0" fontId="3" fillId="4" borderId="0" xfId="1"/>
    <xf numFmtId="0" fontId="11" fillId="9" borderId="0" xfId="5" applyFont="1" applyFill="1" applyBorder="1" applyAlignment="1" applyProtection="1">
      <alignment horizontal="left" vertical="center"/>
      <protection hidden="1"/>
    </xf>
    <xf numFmtId="0" fontId="4" fillId="6" borderId="0" xfId="4" applyAlignment="1" applyProtection="1">
      <alignment horizontal="left" vertical="center"/>
      <protection hidden="1"/>
    </xf>
    <xf numFmtId="43" fontId="27" fillId="12" borderId="12" xfId="7" applyNumberFormat="1" applyFont="1" applyBorder="1" applyAlignment="1" applyProtection="1">
      <alignment horizontal="center" vertical="center"/>
    </xf>
    <xf numFmtId="0" fontId="11" fillId="9" borderId="0" xfId="5" applyFont="1" applyFill="1" applyBorder="1" applyAlignment="1" applyProtection="1">
      <alignment horizontal="left" vertical="center"/>
      <protection hidden="1"/>
    </xf>
    <xf numFmtId="0" fontId="9" fillId="7" borderId="0" xfId="6" applyFont="1" applyFill="1" applyBorder="1" applyAlignment="1" applyProtection="1">
      <alignment vertical="center"/>
      <protection hidden="1"/>
    </xf>
    <xf numFmtId="0" fontId="11" fillId="7" borderId="0" xfId="5" applyFont="1" applyFill="1" applyProtection="1">
      <protection hidden="1"/>
    </xf>
    <xf numFmtId="0" fontId="13" fillId="7" borderId="0" xfId="5" applyFont="1" applyFill="1" applyAlignment="1" applyProtection="1">
      <alignment vertical="center" wrapText="1"/>
      <protection hidden="1"/>
    </xf>
    <xf numFmtId="0" fontId="13" fillId="7" borderId="0" xfId="5" applyFont="1" applyFill="1" applyAlignment="1" applyProtection="1">
      <alignment vertical="center"/>
      <protection hidden="1"/>
    </xf>
    <xf numFmtId="0" fontId="41" fillId="7" borderId="0" xfId="0" applyFont="1" applyFill="1" applyAlignment="1" applyProtection="1">
      <alignment horizontal="right"/>
      <protection hidden="1"/>
    </xf>
    <xf numFmtId="0" fontId="11" fillId="7" borderId="0" xfId="5" quotePrefix="1" applyFont="1" applyFill="1"/>
    <xf numFmtId="0" fontId="11" fillId="7" borderId="0" xfId="5" applyFont="1" applyFill="1" applyBorder="1"/>
    <xf numFmtId="0" fontId="13" fillId="7" borderId="0" xfId="5" applyFont="1" applyFill="1" applyBorder="1" applyAlignment="1">
      <alignment horizontal="left"/>
    </xf>
    <xf numFmtId="0" fontId="11" fillId="7" borderId="0" xfId="5" applyFont="1" applyFill="1" applyBorder="1" applyAlignment="1">
      <alignment vertical="center"/>
    </xf>
    <xf numFmtId="0" fontId="17" fillId="7" borderId="0" xfId="5" applyFont="1" applyFill="1" applyBorder="1"/>
    <xf numFmtId="0" fontId="11" fillId="7" borderId="0" xfId="5" applyFont="1" applyFill="1" applyBorder="1" applyAlignment="1">
      <alignment horizontal="center" vertical="center"/>
    </xf>
    <xf numFmtId="0" fontId="11" fillId="7" borderId="0" xfId="5" quotePrefix="1" applyFont="1" applyFill="1" applyBorder="1" applyAlignment="1">
      <alignment horizontal="left" vertical="center"/>
    </xf>
    <xf numFmtId="0" fontId="17" fillId="7" borderId="0" xfId="5" applyFont="1" applyFill="1" applyBorder="1" applyAlignment="1">
      <alignment horizontal="center" vertical="center"/>
    </xf>
    <xf numFmtId="0" fontId="11" fillId="7" borderId="0" xfId="5" applyFont="1" applyFill="1" applyBorder="1" applyAlignment="1">
      <alignment horizontal="left" vertical="center"/>
    </xf>
    <xf numFmtId="0" fontId="18" fillId="7" borderId="0" xfId="5" applyFont="1" applyFill="1" applyBorder="1"/>
    <xf numFmtId="0" fontId="19" fillId="7" borderId="0" xfId="5" applyFont="1" applyFill="1" applyBorder="1"/>
    <xf numFmtId="0" fontId="13" fillId="7" borderId="0" xfId="5" applyFont="1" applyFill="1" applyBorder="1" applyAlignment="1"/>
    <xf numFmtId="0" fontId="11" fillId="7" borderId="0" xfId="5" applyFont="1" applyFill="1" applyBorder="1" applyAlignment="1" applyProtection="1">
      <alignment vertical="center"/>
      <protection hidden="1"/>
    </xf>
    <xf numFmtId="0" fontId="11" fillId="7" borderId="0" xfId="5" applyFont="1" applyFill="1" applyBorder="1" applyProtection="1">
      <protection hidden="1"/>
    </xf>
    <xf numFmtId="0" fontId="42" fillId="7" borderId="0" xfId="0" applyFont="1" applyFill="1"/>
    <xf numFmtId="0" fontId="42" fillId="7" borderId="0" xfId="0" applyFont="1" applyFill="1" applyProtection="1">
      <protection hidden="1"/>
    </xf>
    <xf numFmtId="0" fontId="6" fillId="7" borderId="0" xfId="0" applyFont="1" applyFill="1" applyProtection="1">
      <protection hidden="1"/>
    </xf>
    <xf numFmtId="0" fontId="42" fillId="7" borderId="0" xfId="0" applyFont="1" applyFill="1" applyAlignment="1" applyProtection="1">
      <protection hidden="1"/>
    </xf>
    <xf numFmtId="0" fontId="6" fillId="7" borderId="0" xfId="0" applyFont="1" applyFill="1" applyAlignment="1" applyProtection="1">
      <alignment horizontal="left" vertical="top" wrapText="1"/>
      <protection hidden="1"/>
    </xf>
    <xf numFmtId="0" fontId="6" fillId="7" borderId="0" xfId="0" applyFont="1" applyFill="1" applyAlignment="1" applyProtection="1">
      <alignment horizontal="center" vertical="top" wrapText="1"/>
      <protection hidden="1"/>
    </xf>
    <xf numFmtId="0" fontId="13" fillId="7" borderId="0" xfId="5" applyFont="1" applyFill="1" applyBorder="1" applyAlignment="1">
      <alignment horizontal="left" vertical="center"/>
    </xf>
    <xf numFmtId="0" fontId="11" fillId="7" borderId="0" xfId="5" applyFont="1" applyFill="1" applyBorder="1" applyAlignment="1">
      <alignment horizontal="left"/>
    </xf>
    <xf numFmtId="0" fontId="22" fillId="7" borderId="0" xfId="5" applyFont="1" applyFill="1" applyBorder="1" applyAlignment="1">
      <alignment horizontal="left" vertical="center"/>
    </xf>
    <xf numFmtId="0" fontId="7" fillId="7" borderId="0" xfId="5" applyFont="1" applyFill="1" applyProtection="1">
      <protection hidden="1"/>
    </xf>
    <xf numFmtId="0" fontId="9" fillId="7" borderId="0" xfId="6" applyFont="1" applyFill="1" applyAlignment="1" applyProtection="1">
      <alignment vertical="center"/>
      <protection hidden="1"/>
    </xf>
    <xf numFmtId="0" fontId="10" fillId="7" borderId="0" xfId="0" applyFont="1" applyFill="1" applyAlignment="1" applyProtection="1">
      <alignment horizontal="center" vertical="top"/>
      <protection hidden="1"/>
    </xf>
    <xf numFmtId="0" fontId="13" fillId="7" borderId="0" xfId="5" applyFont="1" applyFill="1" applyProtection="1">
      <protection hidden="1"/>
    </xf>
    <xf numFmtId="0" fontId="13" fillId="7" borderId="0" xfId="5" applyFont="1" applyFill="1" applyAlignment="1" applyProtection="1">
      <alignment horizontal="center" vertical="center" wrapText="1"/>
      <protection hidden="1"/>
    </xf>
    <xf numFmtId="0" fontId="10" fillId="7" borderId="0" xfId="0" applyFont="1" applyFill="1" applyAlignment="1" applyProtection="1">
      <alignment horizontal="left" vertical="center" wrapText="1"/>
      <protection hidden="1"/>
    </xf>
    <xf numFmtId="0" fontId="11" fillId="8" borderId="0" xfId="5" applyFont="1" applyFill="1" applyProtection="1">
      <protection hidden="1"/>
    </xf>
    <xf numFmtId="0" fontId="43" fillId="7" borderId="0" xfId="5" applyFont="1" applyFill="1" applyProtection="1">
      <protection hidden="1"/>
    </xf>
    <xf numFmtId="0" fontId="44" fillId="7" borderId="0" xfId="6" applyFont="1" applyFill="1" applyProtection="1">
      <protection hidden="1"/>
    </xf>
    <xf numFmtId="0" fontId="45" fillId="7" borderId="0" xfId="5" applyFont="1" applyFill="1" applyProtection="1">
      <protection hidden="1"/>
    </xf>
    <xf numFmtId="0" fontId="46" fillId="7" borderId="0" xfId="0" applyFont="1" applyFill="1" applyAlignment="1" applyProtection="1">
      <alignment horizontal="right"/>
      <protection hidden="1"/>
    </xf>
    <xf numFmtId="0" fontId="45" fillId="11" borderId="0" xfId="5" applyFont="1" applyFill="1"/>
    <xf numFmtId="0" fontId="48" fillId="7" borderId="0" xfId="5" applyFont="1" applyFill="1" applyProtection="1">
      <protection hidden="1"/>
    </xf>
    <xf numFmtId="0" fontId="8" fillId="8" borderId="0" xfId="6" applyFill="1" applyAlignment="1" applyProtection="1">
      <alignment horizontal="center"/>
      <protection hidden="1"/>
    </xf>
    <xf numFmtId="0" fontId="49" fillId="7" borderId="0" xfId="6" quotePrefix="1" applyFont="1" applyFill="1" applyAlignment="1"/>
    <xf numFmtId="0" fontId="49" fillId="7" borderId="0" xfId="6" applyFont="1" applyFill="1" applyAlignment="1"/>
    <xf numFmtId="0" fontId="49" fillId="7" borderId="0" xfId="6" applyFont="1" applyFill="1" applyAlignment="1" applyProtection="1">
      <alignment horizontal="center"/>
      <protection hidden="1"/>
    </xf>
    <xf numFmtId="0" fontId="8" fillId="7" borderId="0" xfId="6" applyFill="1" applyAlignment="1" applyProtection="1">
      <alignment horizontal="center"/>
      <protection hidden="1"/>
    </xf>
    <xf numFmtId="0" fontId="26" fillId="7" borderId="0" xfId="6" applyFont="1" applyFill="1" applyAlignment="1" applyProtection="1">
      <alignment horizontal="center"/>
      <protection hidden="1"/>
    </xf>
    <xf numFmtId="0" fontId="51" fillId="7" borderId="0" xfId="6" applyFont="1" applyFill="1" applyProtection="1">
      <protection hidden="1"/>
    </xf>
    <xf numFmtId="0" fontId="48" fillId="11" borderId="0" xfId="5" applyFont="1" applyFill="1" applyProtection="1">
      <protection hidden="1"/>
    </xf>
    <xf numFmtId="0" fontId="26" fillId="11" borderId="0" xfId="6" applyFont="1" applyFill="1" applyAlignment="1" applyProtection="1">
      <alignment horizontal="center"/>
      <protection hidden="1"/>
    </xf>
    <xf numFmtId="0" fontId="11" fillId="11" borderId="0" xfId="5" applyFont="1" applyFill="1" applyProtection="1">
      <protection hidden="1"/>
    </xf>
    <xf numFmtId="0" fontId="52" fillId="11" borderId="0" xfId="5" applyFont="1" applyFill="1" applyAlignment="1" applyProtection="1">
      <alignment horizontal="center"/>
      <protection hidden="1"/>
    </xf>
    <xf numFmtId="0" fontId="53" fillId="11" borderId="0" xfId="6" applyFont="1" applyFill="1" applyProtection="1">
      <protection hidden="1"/>
    </xf>
    <xf numFmtId="0" fontId="54" fillId="9" borderId="0" xfId="11" applyFont="1" applyFill="1" applyBorder="1" applyAlignment="1" applyProtection="1">
      <alignment horizontal="center" vertical="center"/>
      <protection hidden="1"/>
    </xf>
    <xf numFmtId="167" fontId="54" fillId="9" borderId="0" xfId="3" applyNumberFormat="1" applyFont="1" applyFill="1" applyBorder="1" applyAlignment="1" applyProtection="1">
      <alignment horizontal="center" vertical="center"/>
    </xf>
    <xf numFmtId="2" fontId="54" fillId="9" borderId="0" xfId="3" applyNumberFormat="1" applyFont="1" applyFill="1" applyBorder="1" applyAlignment="1" applyProtection="1">
      <alignment horizontal="center" vertical="center"/>
    </xf>
    <xf numFmtId="0" fontId="54" fillId="9" borderId="0" xfId="3" applyFont="1" applyFill="1" applyBorder="1" applyAlignment="1" applyProtection="1">
      <alignment horizontal="center" vertical="center"/>
    </xf>
    <xf numFmtId="2" fontId="54" fillId="9" borderId="0" xfId="3" applyNumberFormat="1" applyFont="1" applyFill="1" applyBorder="1" applyAlignment="1" applyProtection="1">
      <alignment horizontal="center" vertical="center" wrapText="1"/>
    </xf>
    <xf numFmtId="0" fontId="34" fillId="20" borderId="6" xfId="11" applyBorder="1" applyAlignment="1" applyProtection="1">
      <alignment horizontal="center" vertical="center"/>
      <protection hidden="1"/>
    </xf>
    <xf numFmtId="0" fontId="11" fillId="9" borderId="0" xfId="5" applyFont="1" applyFill="1" applyBorder="1" applyAlignment="1" applyProtection="1">
      <alignment horizontal="left" vertical="center"/>
      <protection hidden="1"/>
    </xf>
    <xf numFmtId="0" fontId="11" fillId="9" borderId="0" xfId="5" applyFont="1" applyFill="1" applyBorder="1" applyAlignment="1" applyProtection="1">
      <alignment horizontal="left" vertical="center" wrapText="1"/>
      <protection hidden="1"/>
    </xf>
    <xf numFmtId="0" fontId="11" fillId="7" borderId="0" xfId="5" applyFont="1" applyFill="1" applyAlignment="1">
      <alignment horizontal="center" vertical="center"/>
    </xf>
    <xf numFmtId="0" fontId="4" fillId="6" borderId="0" xfId="4" applyBorder="1"/>
    <xf numFmtId="0" fontId="55" fillId="9" borderId="0" xfId="12" applyFont="1" applyFill="1" applyBorder="1" applyAlignment="1" applyProtection="1">
      <alignment vertical="center"/>
      <protection hidden="1"/>
    </xf>
    <xf numFmtId="0" fontId="55" fillId="9" borderId="0" xfId="4" applyFont="1" applyFill="1" applyBorder="1" applyAlignment="1" applyProtection="1">
      <alignment vertical="center"/>
      <protection hidden="1"/>
    </xf>
    <xf numFmtId="0" fontId="57" fillId="9" borderId="0" xfId="5" applyFont="1" applyFill="1" applyBorder="1" applyAlignment="1" applyProtection="1">
      <alignment horizontal="left" vertical="top" wrapText="1"/>
      <protection hidden="1"/>
    </xf>
    <xf numFmtId="166" fontId="55" fillId="9" borderId="0" xfId="4" applyNumberFormat="1" applyFont="1" applyFill="1" applyBorder="1" applyAlignment="1" applyProtection="1">
      <alignment horizontal="center" vertical="center"/>
      <protection locked="0"/>
    </xf>
    <xf numFmtId="0" fontId="0" fillId="10" borderId="10" xfId="0" applyFill="1" applyBorder="1"/>
    <xf numFmtId="0" fontId="55" fillId="9" borderId="0" xfId="4" applyFont="1" applyFill="1" applyBorder="1" applyAlignment="1" applyProtection="1">
      <alignment horizontal="left" vertical="center"/>
      <protection hidden="1"/>
    </xf>
    <xf numFmtId="0" fontId="54" fillId="9" borderId="0" xfId="3" applyFont="1" applyFill="1" applyBorder="1" applyAlignment="1" applyProtection="1">
      <alignment horizontal="right" vertical="center" wrapText="1"/>
    </xf>
    <xf numFmtId="0" fontId="55" fillId="9" borderId="0" xfId="4" applyFont="1" applyFill="1" applyBorder="1"/>
    <xf numFmtId="0" fontId="16" fillId="9" borderId="0" xfId="5" applyFont="1" applyFill="1" applyBorder="1" applyAlignment="1" applyProtection="1">
      <alignment horizontal="left" vertical="center" wrapText="1"/>
      <protection hidden="1"/>
    </xf>
    <xf numFmtId="166" fontId="54" fillId="9" borderId="0" xfId="3" applyNumberFormat="1" applyFont="1" applyFill="1" applyBorder="1" applyAlignment="1" applyProtection="1">
      <alignment horizontal="center" vertical="center" wrapText="1"/>
    </xf>
    <xf numFmtId="167" fontId="54" fillId="9" borderId="0" xfId="3" applyNumberFormat="1" applyFont="1" applyFill="1" applyBorder="1" applyAlignment="1" applyProtection="1">
      <alignment horizontal="center" vertical="center" wrapText="1"/>
    </xf>
    <xf numFmtId="166" fontId="55" fillId="9" borderId="0" xfId="4" applyNumberFormat="1" applyFont="1" applyFill="1" applyBorder="1" applyAlignment="1" applyProtection="1">
      <alignment horizontal="center" vertical="center"/>
    </xf>
    <xf numFmtId="0" fontId="54" fillId="9" borderId="0" xfId="3" applyFont="1" applyFill="1" applyBorder="1" applyAlignment="1" applyProtection="1">
      <alignment horizontal="left" vertical="center" wrapText="1"/>
    </xf>
    <xf numFmtId="0" fontId="16" fillId="9" borderId="0" xfId="5" applyFont="1" applyFill="1" applyBorder="1" applyAlignment="1">
      <alignment horizontal="left" vertical="center" wrapText="1"/>
    </xf>
    <xf numFmtId="0" fontId="16" fillId="9" borderId="0" xfId="5" applyFont="1" applyFill="1" applyBorder="1" applyAlignment="1">
      <alignment vertical="center" wrapText="1"/>
    </xf>
    <xf numFmtId="0" fontId="11" fillId="10" borderId="12" xfId="5" applyFont="1" applyFill="1" applyBorder="1" applyAlignment="1" applyProtection="1">
      <alignment horizontal="right" vertical="center" wrapText="1"/>
      <protection locked="0"/>
    </xf>
    <xf numFmtId="0" fontId="16" fillId="9" borderId="0" xfId="5" applyFont="1" applyFill="1" applyBorder="1" applyAlignment="1">
      <alignment horizontal="center" vertical="center"/>
    </xf>
    <xf numFmtId="0" fontId="0" fillId="6" borderId="0" xfId="4" applyFont="1" applyAlignment="1" applyProtection="1">
      <alignment horizontal="left" vertical="center"/>
      <protection hidden="1"/>
    </xf>
    <xf numFmtId="164" fontId="0" fillId="6" borderId="0" xfId="4" applyNumberFormat="1" applyFont="1" applyBorder="1" applyAlignment="1" applyProtection="1">
      <alignment horizontal="right" vertical="center"/>
      <protection hidden="1"/>
    </xf>
    <xf numFmtId="0" fontId="11" fillId="7" borderId="0" xfId="5" quotePrefix="1" applyFont="1" applyFill="1" applyBorder="1" applyAlignment="1">
      <alignment horizontal="left" vertical="center"/>
    </xf>
    <xf numFmtId="0" fontId="40" fillId="7" borderId="0" xfId="5" applyFont="1" applyFill="1" applyAlignment="1" applyProtection="1">
      <alignment horizontal="left" vertical="center" wrapText="1"/>
      <protection hidden="1"/>
    </xf>
    <xf numFmtId="0" fontId="10" fillId="7" borderId="0" xfId="0" applyFont="1" applyFill="1" applyAlignment="1" applyProtection="1">
      <alignment horizontal="left" vertical="center" wrapText="1"/>
      <protection hidden="1"/>
    </xf>
    <xf numFmtId="0" fontId="13" fillId="7" borderId="0" xfId="5" applyFont="1" applyFill="1" applyBorder="1" applyAlignment="1">
      <alignment horizontal="left"/>
    </xf>
    <xf numFmtId="0" fontId="11" fillId="7" borderId="0" xfId="5" applyFont="1" applyFill="1" applyBorder="1" applyAlignment="1">
      <alignment horizontal="left" vertical="center"/>
    </xf>
    <xf numFmtId="0" fontId="13" fillId="7" borderId="0" xfId="5" applyFont="1" applyFill="1" applyBorder="1" applyAlignment="1">
      <alignment horizontal="left" vertical="center"/>
    </xf>
    <xf numFmtId="168" fontId="11" fillId="7" borderId="0" xfId="2" applyNumberFormat="1" applyFont="1" applyFill="1" applyBorder="1" applyAlignment="1">
      <alignment horizontal="center" vertical="center"/>
    </xf>
    <xf numFmtId="0" fontId="11" fillId="7" borderId="0" xfId="5" applyFont="1" applyFill="1" applyBorder="1" applyAlignment="1">
      <alignment horizontal="center" vertical="center"/>
    </xf>
    <xf numFmtId="0" fontId="11" fillId="7" borderId="0" xfId="5" quotePrefix="1" applyFont="1" applyFill="1" applyBorder="1" applyAlignment="1">
      <alignment horizontal="left" wrapText="1"/>
    </xf>
    <xf numFmtId="0" fontId="11" fillId="7" borderId="0" xfId="5" applyFont="1" applyFill="1" applyBorder="1" applyAlignment="1" applyProtection="1">
      <alignment horizontal="center" vertical="center"/>
      <protection hidden="1"/>
    </xf>
    <xf numFmtId="0" fontId="11" fillId="7" borderId="0" xfId="5" quotePrefix="1" applyFont="1" applyFill="1" applyBorder="1" applyAlignment="1" applyProtection="1">
      <alignment horizontal="left" vertical="center" wrapText="1"/>
      <protection hidden="1"/>
    </xf>
    <xf numFmtId="0" fontId="6" fillId="7" borderId="0" xfId="0" applyFont="1" applyFill="1" applyAlignment="1" applyProtection="1">
      <alignment horizontal="left" vertical="center" wrapText="1"/>
      <protection hidden="1"/>
    </xf>
    <xf numFmtId="0" fontId="6" fillId="7" borderId="0" xfId="0" applyFont="1" applyFill="1" applyAlignment="1" applyProtection="1">
      <alignment horizontal="left" vertical="top" wrapText="1"/>
      <protection hidden="1"/>
    </xf>
    <xf numFmtId="0" fontId="22" fillId="7" borderId="0" xfId="5" applyFont="1" applyFill="1" applyBorder="1" applyAlignment="1">
      <alignment horizontal="left" vertical="center"/>
    </xf>
    <xf numFmtId="168" fontId="22" fillId="7" borderId="0" xfId="2" applyNumberFormat="1" applyFont="1" applyFill="1" applyBorder="1" applyAlignment="1">
      <alignment horizontal="center" vertical="center"/>
    </xf>
    <xf numFmtId="0" fontId="11" fillId="7" borderId="0" xfId="5" applyFont="1" applyFill="1" applyBorder="1" applyAlignment="1">
      <alignment horizontal="left" vertical="center" wrapText="1"/>
    </xf>
    <xf numFmtId="0" fontId="50" fillId="7" borderId="0" xfId="6" applyFont="1" applyFill="1" applyAlignment="1" applyProtection="1">
      <alignment horizontal="left" vertical="top" wrapText="1"/>
      <protection hidden="1"/>
    </xf>
    <xf numFmtId="0" fontId="47" fillId="11" borderId="0" xfId="6" applyFont="1" applyFill="1" applyAlignment="1" applyProtection="1">
      <alignment horizontal="left" vertical="top" wrapText="1"/>
      <protection hidden="1"/>
    </xf>
    <xf numFmtId="0" fontId="11" fillId="7" borderId="0" xfId="5" applyFont="1" applyFill="1" applyAlignment="1" applyProtection="1">
      <alignment horizontal="center"/>
      <protection hidden="1"/>
    </xf>
    <xf numFmtId="0" fontId="47" fillId="9" borderId="0" xfId="6" applyFont="1" applyFill="1" applyAlignment="1" applyProtection="1">
      <alignment horizontal="left" vertical="top" wrapText="1"/>
      <protection hidden="1"/>
    </xf>
    <xf numFmtId="0" fontId="13" fillId="7" borderId="0" xfId="5" applyFont="1" applyFill="1" applyAlignment="1">
      <alignment horizontal="left" vertical="center"/>
    </xf>
    <xf numFmtId="0" fontId="11" fillId="9" borderId="0" xfId="5" applyFont="1" applyFill="1" applyBorder="1" applyAlignment="1" applyProtection="1">
      <alignment horizontal="left" vertical="center"/>
      <protection hidden="1"/>
    </xf>
    <xf numFmtId="0" fontId="9" fillId="7" borderId="0" xfId="6" applyFont="1" applyFill="1" applyBorder="1" applyAlignment="1">
      <alignment horizontal="left" vertical="center"/>
    </xf>
    <xf numFmtId="0" fontId="9" fillId="7" borderId="0" xfId="6" applyFont="1" applyFill="1" applyBorder="1" applyAlignment="1">
      <alignment horizontal="center" vertical="center"/>
    </xf>
    <xf numFmtId="0" fontId="13" fillId="7" borderId="0" xfId="5" applyFont="1" applyFill="1" applyAlignment="1">
      <alignment horizontal="left"/>
    </xf>
    <xf numFmtId="0" fontId="11" fillId="9" borderId="0" xfId="5" applyFont="1" applyFill="1" applyAlignment="1" applyProtection="1">
      <alignment horizontal="left" vertical="center" wrapText="1"/>
      <protection hidden="1"/>
    </xf>
    <xf numFmtId="0" fontId="4" fillId="21" borderId="6" xfId="12" applyBorder="1" applyAlignment="1" applyProtection="1">
      <alignment horizontal="center" vertical="center"/>
      <protection hidden="1"/>
    </xf>
    <xf numFmtId="0" fontId="11" fillId="7" borderId="0" xfId="5" applyFont="1" applyFill="1" applyAlignment="1">
      <alignment horizontal="left" vertical="center" wrapText="1"/>
    </xf>
    <xf numFmtId="0" fontId="11" fillId="9" borderId="0" xfId="5" applyFont="1" applyFill="1" applyBorder="1" applyAlignment="1" applyProtection="1">
      <alignment horizontal="left" vertical="center" wrapText="1"/>
      <protection hidden="1"/>
    </xf>
    <xf numFmtId="0" fontId="11" fillId="7" borderId="0" xfId="5" applyFont="1" applyFill="1" applyAlignment="1">
      <alignment horizontal="center" vertical="center"/>
    </xf>
    <xf numFmtId="0" fontId="11" fillId="7" borderId="0" xfId="5" quotePrefix="1" applyFont="1" applyFill="1" applyAlignment="1">
      <alignment horizontal="left" vertical="center" wrapText="1"/>
    </xf>
    <xf numFmtId="0" fontId="57" fillId="9" borderId="0" xfId="5" applyFont="1" applyFill="1" applyBorder="1" applyAlignment="1" applyProtection="1">
      <alignment horizontal="left" vertical="top" wrapText="1"/>
      <protection hidden="1"/>
    </xf>
    <xf numFmtId="43" fontId="38" fillId="0" borderId="24" xfId="2" applyFont="1" applyBorder="1" applyAlignment="1" applyProtection="1">
      <alignment horizontal="center" vertical="center"/>
      <protection hidden="1"/>
    </xf>
    <xf numFmtId="43" fontId="38" fillId="0" borderId="11" xfId="2" applyFont="1" applyBorder="1" applyAlignment="1" applyProtection="1">
      <alignment horizontal="center" vertical="center"/>
      <protection hidden="1"/>
    </xf>
    <xf numFmtId="43" fontId="33" fillId="0" borderId="0" xfId="2" applyFont="1" applyAlignment="1" applyProtection="1">
      <alignment horizontal="center" vertical="center"/>
      <protection hidden="1"/>
    </xf>
    <xf numFmtId="43" fontId="22" fillId="0" borderId="24" xfId="2" applyFont="1" applyBorder="1" applyAlignment="1">
      <alignment horizontal="center"/>
    </xf>
    <xf numFmtId="43" fontId="22" fillId="0" borderId="11" xfId="2" applyFont="1" applyBorder="1" applyAlignment="1">
      <alignment horizontal="center"/>
    </xf>
    <xf numFmtId="43" fontId="22" fillId="0" borderId="25" xfId="2" applyFont="1" applyBorder="1" applyAlignment="1">
      <alignment horizontal="center"/>
    </xf>
    <xf numFmtId="43" fontId="22" fillId="0" borderId="39" xfId="2" applyFont="1" applyBorder="1" applyAlignment="1">
      <alignment horizontal="center"/>
    </xf>
    <xf numFmtId="0" fontId="39" fillId="0" borderId="0" xfId="0" applyFont="1" applyAlignment="1">
      <alignment horizontal="center"/>
    </xf>
  </cellXfs>
  <cellStyles count="13">
    <cellStyle name="20 % - Farve6" xfId="9" builtinId="50"/>
    <cellStyle name="40 % - Farve4" xfId="12" builtinId="43"/>
    <cellStyle name="40 % - Farve6" xfId="4" builtinId="51"/>
    <cellStyle name="Beregning" xfId="3" builtinId="22"/>
    <cellStyle name="Farve4" xfId="7" builtinId="41"/>
    <cellStyle name="Komma" xfId="2" builtinId="3"/>
    <cellStyle name="Kontrollér celle" xfId="11" builtinId="23"/>
    <cellStyle name="Link" xfId="6" builtinId="8"/>
    <cellStyle name="Neutral" xfId="1" builtinId="28"/>
    <cellStyle name="Normal" xfId="0" builtinId="0"/>
    <cellStyle name="Normal 2" xfId="5"/>
    <cellStyle name="Procent" xfId="10" builtinId="5"/>
    <cellStyle name="Ugyldig" xfId="8" builtinId="27"/>
  </cellStyles>
  <dxfs count="6">
    <dxf>
      <font>
        <color theme="9" tint="0.59996337778862885"/>
      </font>
    </dxf>
    <dxf>
      <font>
        <color theme="9" tint="0.59996337778862885"/>
      </font>
      <fill>
        <patternFill>
          <bgColor theme="9" tint="0.59996337778862885"/>
        </patternFill>
      </fill>
      <border>
        <left/>
        <vertical/>
        <horizontal/>
      </border>
    </dxf>
    <dxf>
      <font>
        <color theme="9" tint="0.59996337778862885"/>
      </font>
      <fill>
        <patternFill>
          <bgColor theme="9" tint="0.59996337778862885"/>
        </patternFill>
      </fill>
    </dxf>
    <dxf>
      <font>
        <color theme="9" tint="0.59996337778862885"/>
      </font>
      <fill>
        <patternFill>
          <bgColor theme="9" tint="0.59996337778862885"/>
        </patternFill>
      </fill>
      <border>
        <left/>
        <right/>
        <top/>
        <bottom/>
        <vertical/>
        <horizontal/>
      </border>
    </dxf>
    <dxf>
      <font>
        <color theme="9" tint="0.59996337778862885"/>
      </font>
      <fill>
        <patternFill>
          <bgColor theme="9" tint="0.59996337778862885"/>
        </patternFill>
      </fill>
      <border>
        <left/>
        <vertical/>
        <horizontal/>
      </border>
    </dxf>
    <dxf>
      <font>
        <color theme="9" tint="0.59996337778862885"/>
      </font>
      <fill>
        <patternFill>
          <bgColor theme="9" tint="0.59996337778862885"/>
        </patternFill>
      </fill>
      <border>
        <left/>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og"/>
            <c:dispRSqr val="0"/>
            <c:dispEq val="1"/>
            <c:trendlineLbl>
              <c:layout>
                <c:manualLayout>
                  <c:x val="2.3846557641833233E-2"/>
                  <c:y val="0.34567901234567899"/>
                </c:manualLayout>
              </c:layout>
              <c:numFmt formatCode="General" sourceLinked="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trendlineLbl>
          </c:trendline>
          <c:xVal>
            <c:numRef>
              <c:f>'[1]Forbrugsberegner 1'!$AB$4:$AB$6</c:f>
              <c:numCache>
                <c:formatCode>General</c:formatCode>
                <c:ptCount val="3"/>
                <c:pt idx="0">
                  <c:v>1000</c:v>
                </c:pt>
                <c:pt idx="1">
                  <c:v>100</c:v>
                </c:pt>
                <c:pt idx="2">
                  <c:v>10</c:v>
                </c:pt>
              </c:numCache>
            </c:numRef>
          </c:xVal>
          <c:yVal>
            <c:numRef>
              <c:f>'[1]Forbrugsberegner 1'!$AC$4:$AC$6</c:f>
              <c:numCache>
                <c:formatCode>General</c:formatCode>
                <c:ptCount val="3"/>
                <c:pt idx="0">
                  <c:v>0.96</c:v>
                </c:pt>
                <c:pt idx="1">
                  <c:v>0.95</c:v>
                </c:pt>
                <c:pt idx="2">
                  <c:v>0.94</c:v>
                </c:pt>
              </c:numCache>
            </c:numRef>
          </c:yVal>
          <c:smooth val="0"/>
          <c:extLst>
            <c:ext xmlns:c16="http://schemas.microsoft.com/office/drawing/2014/chart" uri="{C3380CC4-5D6E-409C-BE32-E72D297353CC}">
              <c16:uniqueId val="{00000000-68FA-445E-8E94-964AA0D327BE}"/>
            </c:ext>
          </c:extLst>
        </c:ser>
        <c:dLbls>
          <c:showLegendKey val="0"/>
          <c:showVal val="0"/>
          <c:showCatName val="0"/>
          <c:showSerName val="0"/>
          <c:showPercent val="0"/>
          <c:showBubbleSize val="0"/>
        </c:dLbls>
        <c:axId val="432892416"/>
        <c:axId val="432891432"/>
      </c:scatterChart>
      <c:valAx>
        <c:axId val="4328924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432891432"/>
        <c:crosses val="autoZero"/>
        <c:crossBetween val="midCat"/>
      </c:valAx>
      <c:valAx>
        <c:axId val="432891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4328924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19050" cap="rnd">
              <a:noFill/>
              <a:round/>
            </a:ln>
            <a:effectLst/>
          </c:spPr>
          <c:marker>
            <c:symbol val="circle"/>
            <c:size val="5"/>
            <c:spPr>
              <a:solidFill>
                <a:schemeClr val="accent1"/>
              </a:solidFill>
              <a:ln w="9525">
                <a:solidFill>
                  <a:schemeClr val="accent1"/>
                </a:solidFill>
              </a:ln>
              <a:effectLst/>
            </c:spPr>
          </c:marker>
          <c:cat>
            <c:strRef>
              <c:f>'[1]Forbrugsberegner 1'!$N$4:$N$8</c:f>
              <c:strCache>
                <c:ptCount val="5"/>
                <c:pt idx="0">
                  <c:v>Træpiller</c:v>
                </c:pt>
                <c:pt idx="1">
                  <c:v>Brænde</c:v>
                </c:pt>
                <c:pt idx="2">
                  <c:v>Flis</c:v>
                </c:pt>
                <c:pt idx="3">
                  <c:v>Halm</c:v>
                </c:pt>
                <c:pt idx="4">
                  <c:v>Olie</c:v>
                </c:pt>
              </c:strCache>
            </c:strRef>
          </c:cat>
          <c:val>
            <c:numRef>
              <c:f>'[1]Forbrugsberegner 1'!$O$4:$O$8</c:f>
              <c:numCache>
                <c:formatCode>General</c:formatCode>
                <c:ptCount val="5"/>
                <c:pt idx="0">
                  <c:v>0.80466459903965248</c:v>
                </c:pt>
                <c:pt idx="1">
                  <c:v>0.78448593767188257</c:v>
                </c:pt>
                <c:pt idx="2">
                  <c:v>0.76778166994543662</c:v>
                </c:pt>
                <c:pt idx="3">
                  <c:v>0.70511581175700466</c:v>
                </c:pt>
                <c:pt idx="4">
                  <c:v>0.78426459903965251</c:v>
                </c:pt>
              </c:numCache>
            </c:numRef>
          </c:val>
          <c:smooth val="0"/>
          <c:extLst>
            <c:ext xmlns:c16="http://schemas.microsoft.com/office/drawing/2014/chart" uri="{C3380CC4-5D6E-409C-BE32-E72D297353CC}">
              <c16:uniqueId val="{00000000-9E3D-42A5-ACB1-5C57F66C57B1}"/>
            </c:ext>
          </c:extLst>
        </c:ser>
        <c:dLbls>
          <c:showLegendKey val="0"/>
          <c:showVal val="0"/>
          <c:showCatName val="0"/>
          <c:showSerName val="0"/>
          <c:showPercent val="0"/>
          <c:showBubbleSize val="0"/>
        </c:dLbls>
        <c:marker val="1"/>
        <c:smooth val="0"/>
        <c:axId val="432885856"/>
        <c:axId val="432886840"/>
      </c:lineChart>
      <c:catAx>
        <c:axId val="4328858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432886840"/>
        <c:crosses val="autoZero"/>
        <c:auto val="1"/>
        <c:lblAlgn val="ctr"/>
        <c:lblOffset val="100"/>
        <c:noMultiLvlLbl val="0"/>
      </c:catAx>
      <c:valAx>
        <c:axId val="432886840"/>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432885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'[1]Forbrugsberegner 1'!$H$12</c:f>
              <c:strCache>
                <c:ptCount val="1"/>
                <c:pt idx="0">
                  <c:v>Træpiller</c:v>
                </c:pt>
              </c:strCache>
            </c:strRef>
          </c:tx>
          <c:spPr>
            <a:ln w="25400" cap="rnd">
              <a:noFill/>
              <a:round/>
            </a:ln>
            <a:effectLst/>
          </c:spPr>
          <c:marker>
            <c:symbol val="none"/>
          </c:marker>
          <c:trendline>
            <c:spPr>
              <a:ln w="19050" cap="rnd">
                <a:solidFill>
                  <a:schemeClr val="accent1"/>
                </a:solidFill>
                <a:prstDash val="sysDot"/>
              </a:ln>
              <a:effectLst/>
            </c:spPr>
            <c:trendlineType val="log"/>
            <c:dispRSqr val="0"/>
            <c:dispEq val="0"/>
          </c:trendline>
          <c:xVal>
            <c:numRef>
              <c:f>'[1]Forbrugsberegner 1'!$G$13:$G$15</c:f>
              <c:numCache>
                <c:formatCode>General</c:formatCode>
                <c:ptCount val="3"/>
                <c:pt idx="0">
                  <c:v>1</c:v>
                </c:pt>
                <c:pt idx="1">
                  <c:v>10</c:v>
                </c:pt>
                <c:pt idx="2">
                  <c:v>30</c:v>
                </c:pt>
              </c:numCache>
            </c:numRef>
          </c:xVal>
          <c:yVal>
            <c:numRef>
              <c:f>'[1]Forbrugsberegner 1'!$H$13:$H$15</c:f>
              <c:numCache>
                <c:formatCode>General</c:formatCode>
                <c:ptCount val="3"/>
                <c:pt idx="0">
                  <c:v>9.8009999999999989E-3</c:v>
                </c:pt>
                <c:pt idx="1">
                  <c:v>8.4150000000000006E-3</c:v>
                </c:pt>
                <c:pt idx="2">
                  <c:v>7.7219999999999997E-3</c:v>
                </c:pt>
              </c:numCache>
            </c:numRef>
          </c:yVal>
          <c:smooth val="0"/>
          <c:extLst>
            <c:ext xmlns:c16="http://schemas.microsoft.com/office/drawing/2014/chart" uri="{C3380CC4-5D6E-409C-BE32-E72D297353CC}">
              <c16:uniqueId val="{00000000-A8D3-4D92-A09F-A2B21355BAD6}"/>
            </c:ext>
          </c:extLst>
        </c:ser>
        <c:ser>
          <c:idx val="1"/>
          <c:order val="1"/>
          <c:tx>
            <c:strRef>
              <c:f>'[1]Forbrugsberegner 1'!$I$12</c:f>
              <c:strCache>
                <c:ptCount val="1"/>
                <c:pt idx="0">
                  <c:v>Brænde</c:v>
                </c:pt>
              </c:strCache>
            </c:strRef>
          </c:tx>
          <c:spPr>
            <a:ln w="25400" cap="rnd">
              <a:noFill/>
              <a:round/>
            </a:ln>
            <a:effectLst/>
          </c:spPr>
          <c:marker>
            <c:symbol val="none"/>
          </c:marker>
          <c:trendline>
            <c:spPr>
              <a:ln w="19050" cap="rnd">
                <a:solidFill>
                  <a:schemeClr val="accent2"/>
                </a:solidFill>
                <a:prstDash val="sysDot"/>
              </a:ln>
              <a:effectLst/>
            </c:spPr>
            <c:trendlineType val="log"/>
            <c:dispRSqr val="0"/>
            <c:dispEq val="0"/>
          </c:trendline>
          <c:xVal>
            <c:numRef>
              <c:f>'[1]Forbrugsberegner 1'!$G$13:$G$15</c:f>
              <c:numCache>
                <c:formatCode>General</c:formatCode>
                <c:ptCount val="3"/>
                <c:pt idx="0">
                  <c:v>1</c:v>
                </c:pt>
                <c:pt idx="1">
                  <c:v>10</c:v>
                </c:pt>
                <c:pt idx="2">
                  <c:v>30</c:v>
                </c:pt>
              </c:numCache>
            </c:numRef>
          </c:xVal>
          <c:yVal>
            <c:numRef>
              <c:f>'[1]Forbrugsberegner 1'!$I$13:$I$15</c:f>
              <c:numCache>
                <c:formatCode>General</c:formatCode>
                <c:ptCount val="3"/>
                <c:pt idx="0">
                  <c:v>9.7519949999999994E-3</c:v>
                </c:pt>
                <c:pt idx="1">
                  <c:v>8.2298699999999985E-3</c:v>
                </c:pt>
                <c:pt idx="2">
                  <c:v>7.4903400000000007E-3</c:v>
                </c:pt>
              </c:numCache>
            </c:numRef>
          </c:yVal>
          <c:smooth val="0"/>
          <c:extLst>
            <c:ext xmlns:c16="http://schemas.microsoft.com/office/drawing/2014/chart" uri="{C3380CC4-5D6E-409C-BE32-E72D297353CC}">
              <c16:uniqueId val="{00000001-A8D3-4D92-A09F-A2B21355BAD6}"/>
            </c:ext>
          </c:extLst>
        </c:ser>
        <c:ser>
          <c:idx val="2"/>
          <c:order val="2"/>
          <c:tx>
            <c:strRef>
              <c:f>'[1]Forbrugsberegner 1'!$J$12</c:f>
              <c:strCache>
                <c:ptCount val="1"/>
                <c:pt idx="0">
                  <c:v>Flis</c:v>
                </c:pt>
              </c:strCache>
            </c:strRef>
          </c:tx>
          <c:spPr>
            <a:ln w="25400" cap="rnd">
              <a:noFill/>
              <a:round/>
            </a:ln>
            <a:effectLst/>
          </c:spPr>
          <c:marker>
            <c:symbol val="none"/>
          </c:marker>
          <c:trendline>
            <c:spPr>
              <a:ln w="19050" cap="rnd">
                <a:solidFill>
                  <a:schemeClr val="accent3"/>
                </a:solidFill>
                <a:prstDash val="sysDot"/>
              </a:ln>
              <a:effectLst/>
            </c:spPr>
            <c:trendlineType val="log"/>
            <c:dispRSqr val="0"/>
            <c:dispEq val="0"/>
          </c:trendline>
          <c:xVal>
            <c:numRef>
              <c:f>'[1]Forbrugsberegner 1'!$G$13:$G$15</c:f>
              <c:numCache>
                <c:formatCode>General</c:formatCode>
                <c:ptCount val="3"/>
                <c:pt idx="0">
                  <c:v>1</c:v>
                </c:pt>
                <c:pt idx="1">
                  <c:v>10</c:v>
                </c:pt>
                <c:pt idx="2">
                  <c:v>30</c:v>
                </c:pt>
              </c:numCache>
            </c:numRef>
          </c:xVal>
          <c:yVal>
            <c:numRef>
              <c:f>'[1]Forbrugsberegner 1'!$J$13:$J$15</c:f>
              <c:numCache>
                <c:formatCode>General</c:formatCode>
                <c:ptCount val="3"/>
                <c:pt idx="0">
                  <c:v>9.5569551000000003E-3</c:v>
                </c:pt>
                <c:pt idx="1">
                  <c:v>8.0652725999999994E-3</c:v>
                </c:pt>
                <c:pt idx="2">
                  <c:v>7.3405331999999998E-3</c:v>
                </c:pt>
              </c:numCache>
            </c:numRef>
          </c:yVal>
          <c:smooth val="0"/>
          <c:extLst>
            <c:ext xmlns:c16="http://schemas.microsoft.com/office/drawing/2014/chart" uri="{C3380CC4-5D6E-409C-BE32-E72D297353CC}">
              <c16:uniqueId val="{00000002-A8D3-4D92-A09F-A2B21355BAD6}"/>
            </c:ext>
          </c:extLst>
        </c:ser>
        <c:ser>
          <c:idx val="3"/>
          <c:order val="3"/>
          <c:tx>
            <c:strRef>
              <c:f>'[1]Forbrugsberegner 1'!$K$12</c:f>
              <c:strCache>
                <c:ptCount val="1"/>
                <c:pt idx="0">
                  <c:v>Halm</c:v>
                </c:pt>
              </c:strCache>
            </c:strRef>
          </c:tx>
          <c:spPr>
            <a:ln w="25400" cap="rnd">
              <a:noFill/>
              <a:round/>
            </a:ln>
            <a:effectLst/>
          </c:spPr>
          <c:marker>
            <c:symbol val="none"/>
          </c:marker>
          <c:trendline>
            <c:spPr>
              <a:ln w="19050" cap="rnd">
                <a:solidFill>
                  <a:schemeClr val="accent4"/>
                </a:solidFill>
                <a:prstDash val="sysDot"/>
              </a:ln>
              <a:effectLst/>
            </c:spPr>
            <c:trendlineType val="log"/>
            <c:dispRSqr val="0"/>
            <c:dispEq val="1"/>
            <c:trendlineLbl>
              <c:layout>
                <c:manualLayout>
                  <c:x val="9.8348881543901104E-2"/>
                  <c:y val="-0.35214579020065667"/>
                </c:manualLayout>
              </c:layout>
              <c:numFmt formatCode="General" sourceLinked="0"/>
              <c:spPr>
                <a:noFill/>
                <a:ln>
                  <a:noFill/>
                </a:ln>
                <a:effectLst/>
              </c:spPr>
              <c:txPr>
                <a:bodyPr rot="0" spcFirstLastPara="1" vertOverflow="ellipsis" vert="horz" wrap="square" anchor="ctr" anchorCtr="1"/>
                <a:lstStyle/>
                <a:p>
                  <a:pPr>
                    <a:defRPr sz="85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da-DK"/>
                </a:p>
              </c:txPr>
            </c:trendlineLbl>
          </c:trendline>
          <c:xVal>
            <c:numRef>
              <c:f>'[1]Forbrugsberegner 1'!$G$13:$G$15</c:f>
              <c:numCache>
                <c:formatCode>General</c:formatCode>
                <c:ptCount val="3"/>
                <c:pt idx="0">
                  <c:v>1</c:v>
                </c:pt>
                <c:pt idx="1">
                  <c:v>10</c:v>
                </c:pt>
                <c:pt idx="2">
                  <c:v>30</c:v>
                </c:pt>
              </c:numCache>
            </c:numRef>
          </c:xVal>
          <c:yVal>
            <c:numRef>
              <c:f>'[1]Forbrugsberegner 1'!$K$13:$K$15</c:f>
              <c:numCache>
                <c:formatCode>General</c:formatCode>
                <c:ptCount val="3"/>
                <c:pt idx="0">
                  <c:v>9.1717512974999992E-3</c:v>
                </c:pt>
                <c:pt idx="1">
                  <c:v>7.4893499999999988E-3</c:v>
                </c:pt>
                <c:pt idx="2">
                  <c:v>6.6640859999999988E-3</c:v>
                </c:pt>
              </c:numCache>
            </c:numRef>
          </c:yVal>
          <c:smooth val="0"/>
          <c:extLst>
            <c:ext xmlns:c16="http://schemas.microsoft.com/office/drawing/2014/chart" uri="{C3380CC4-5D6E-409C-BE32-E72D297353CC}">
              <c16:uniqueId val="{00000003-A8D3-4D92-A09F-A2B21355BAD6}"/>
            </c:ext>
          </c:extLst>
        </c:ser>
        <c:ser>
          <c:idx val="4"/>
          <c:order val="4"/>
          <c:tx>
            <c:v>ssfsdf</c:v>
          </c:tx>
          <c:spPr>
            <a:ln w="25400" cap="rnd">
              <a:noFill/>
              <a:round/>
            </a:ln>
            <a:effectLst/>
          </c:spPr>
          <c:marker>
            <c:symbol val="circle"/>
            <c:size val="5"/>
            <c:spPr>
              <a:solidFill>
                <a:schemeClr val="accent5"/>
              </a:solidFill>
              <a:ln w="9525">
                <a:solidFill>
                  <a:schemeClr val="accent5"/>
                </a:solidFill>
              </a:ln>
              <a:effectLst/>
            </c:spPr>
          </c:marker>
          <c:xVal>
            <c:numRef>
              <c:f>'[1]Forbrugsberegner 1'!$D$5</c:f>
              <c:numCache>
                <c:formatCode>General</c:formatCode>
                <c:ptCount val="1"/>
                <c:pt idx="0">
                  <c:v>20</c:v>
                </c:pt>
              </c:numCache>
            </c:numRef>
          </c:xVal>
          <c:yVal>
            <c:numRef>
              <c:f>'[1]Forbrugsberegner 1'!$F$8</c:f>
              <c:numCache>
                <c:formatCode>General</c:formatCode>
                <c:ptCount val="1"/>
              </c:numCache>
            </c:numRef>
          </c:yVal>
          <c:smooth val="0"/>
          <c:extLst>
            <c:ext xmlns:c16="http://schemas.microsoft.com/office/drawing/2014/chart" uri="{C3380CC4-5D6E-409C-BE32-E72D297353CC}">
              <c16:uniqueId val="{00000004-A8D3-4D92-A09F-A2B21355BAD6}"/>
            </c:ext>
          </c:extLst>
        </c:ser>
        <c:ser>
          <c:idx val="5"/>
          <c:order val="5"/>
          <c:tx>
            <c:strRef>
              <c:f>'[1]Forbrugsberegner 1'!$C$25</c:f>
              <c:strCache>
                <c:ptCount val="1"/>
              </c:strCache>
            </c:strRef>
          </c:tx>
          <c:spPr>
            <a:ln w="25400" cap="rnd">
              <a:noFill/>
              <a:round/>
            </a:ln>
            <a:effectLst/>
          </c:spPr>
          <c:marker>
            <c:symbol val="none"/>
          </c:marker>
          <c:xVal>
            <c:numRef>
              <c:f>'[1]Forbrugsberegner 1'!$C$26:$C$29</c:f>
              <c:numCache>
                <c:formatCode>General</c:formatCode>
                <c:ptCount val="4"/>
              </c:numCache>
            </c:numRef>
          </c:xVal>
          <c:yVal>
            <c:numRef>
              <c:f>'[1]Forbrugsberegner 1'!$D$26:$D$29</c:f>
              <c:numCache>
                <c:formatCode>General</c:formatCode>
                <c:ptCount val="4"/>
              </c:numCache>
            </c:numRef>
          </c:yVal>
          <c:smooth val="0"/>
          <c:extLst>
            <c:ext xmlns:c16="http://schemas.microsoft.com/office/drawing/2014/chart" uri="{C3380CC4-5D6E-409C-BE32-E72D297353CC}">
              <c16:uniqueId val="{00000005-A8D3-4D92-A09F-A2B21355BAD6}"/>
            </c:ext>
          </c:extLst>
        </c:ser>
        <c:dLbls>
          <c:showLegendKey val="0"/>
          <c:showVal val="0"/>
          <c:showCatName val="0"/>
          <c:showSerName val="0"/>
          <c:showPercent val="0"/>
          <c:showBubbleSize val="0"/>
        </c:dLbls>
        <c:axId val="327091104"/>
        <c:axId val="474292800"/>
      </c:scatterChart>
      <c:valAx>
        <c:axId val="3270911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5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da-DK"/>
          </a:p>
        </c:txPr>
        <c:crossAx val="474292800"/>
        <c:crosses val="autoZero"/>
        <c:crossBetween val="midCat"/>
      </c:valAx>
      <c:valAx>
        <c:axId val="474292800"/>
        <c:scaling>
          <c:orientation val="minMax"/>
          <c:max val="0.85000000000000009"/>
          <c:min val="0.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5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da-DK"/>
          </a:p>
        </c:txPr>
        <c:crossAx val="327091104"/>
        <c:crosses val="autoZero"/>
        <c:crossBetween val="midCat"/>
      </c:val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overlay val="0"/>
      <c:spPr>
        <a:noFill/>
        <a:ln>
          <a:noFill/>
        </a:ln>
        <a:effectLst/>
      </c:spPr>
      <c:txPr>
        <a:bodyPr rot="0" spcFirstLastPara="1" vertOverflow="ellipsis" vert="horz" wrap="square" anchor="ctr" anchorCtr="1"/>
        <a:lstStyle/>
        <a:p>
          <a:pPr>
            <a:defRPr sz="85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50" b="0" i="0">
          <a:latin typeface="Verdana" panose="020B0604030504040204" pitchFamily="34" charset="0"/>
          <a:ea typeface="Verdana" panose="020B0604030504040204" pitchFamily="34" charset="0"/>
          <a:cs typeface="Verdana" panose="020B0604030504040204" pitchFamily="34" charset="0"/>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og"/>
            <c:dispRSqr val="0"/>
            <c:dispEq val="1"/>
            <c:trendlineLbl>
              <c:layout>
                <c:manualLayout>
                  <c:x val="9.3318389681608993E-2"/>
                  <c:y val="-0.15191010498687665"/>
                </c:manualLayout>
              </c:layout>
              <c:numFmt formatCode="General" sourceLinked="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trendlineLbl>
          </c:trendline>
          <c:xVal>
            <c:numRef>
              <c:f>'[1]Forbrugsberegner 1'!$N$14:$N$16</c:f>
              <c:numCache>
                <c:formatCode>General</c:formatCode>
                <c:ptCount val="3"/>
                <c:pt idx="0">
                  <c:v>1</c:v>
                </c:pt>
                <c:pt idx="1">
                  <c:v>10</c:v>
                </c:pt>
                <c:pt idx="2">
                  <c:v>30</c:v>
                </c:pt>
              </c:numCache>
            </c:numRef>
          </c:xVal>
          <c:yVal>
            <c:numRef>
              <c:f>'[1]Forbrugsberegner 1'!$O$14:$O$16</c:f>
              <c:numCache>
                <c:formatCode>General</c:formatCode>
                <c:ptCount val="3"/>
                <c:pt idx="0">
                  <c:v>0.99</c:v>
                </c:pt>
                <c:pt idx="1">
                  <c:v>0.85</c:v>
                </c:pt>
                <c:pt idx="2">
                  <c:v>0.78</c:v>
                </c:pt>
              </c:numCache>
            </c:numRef>
          </c:yVal>
          <c:smooth val="0"/>
          <c:extLst>
            <c:ext xmlns:c16="http://schemas.microsoft.com/office/drawing/2014/chart" uri="{C3380CC4-5D6E-409C-BE32-E72D297353CC}">
              <c16:uniqueId val="{00000000-CE30-4AE0-9D51-C31076A639D1}"/>
            </c:ext>
          </c:extLst>
        </c:ser>
        <c:dLbls>
          <c:showLegendKey val="0"/>
          <c:showVal val="0"/>
          <c:showCatName val="0"/>
          <c:showSerName val="0"/>
          <c:showPercent val="0"/>
          <c:showBubbleSize val="0"/>
        </c:dLbls>
        <c:axId val="432892416"/>
        <c:axId val="432891432"/>
      </c:scatterChart>
      <c:valAx>
        <c:axId val="4328924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432891432"/>
        <c:crosses val="autoZero"/>
        <c:crossBetween val="midCat"/>
      </c:valAx>
      <c:valAx>
        <c:axId val="4328914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4328924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og"/>
            <c:dispRSqr val="0"/>
            <c:dispEq val="1"/>
            <c:trendlineLbl>
              <c:layout>
                <c:manualLayout>
                  <c:x val="0.10171345206287175"/>
                  <c:y val="-0.18315354330708661"/>
                </c:manualLayout>
              </c:layout>
              <c:numFmt formatCode="General" sourceLinked="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trendlineLbl>
          </c:trendline>
          <c:xVal>
            <c:numRef>
              <c:f>'[1]Forbrugsberegner 1'!$N$23:$N$25</c:f>
              <c:numCache>
                <c:formatCode>General</c:formatCode>
                <c:ptCount val="3"/>
                <c:pt idx="0">
                  <c:v>1</c:v>
                </c:pt>
                <c:pt idx="1">
                  <c:v>10</c:v>
                </c:pt>
                <c:pt idx="2">
                  <c:v>30</c:v>
                </c:pt>
              </c:numCache>
            </c:numRef>
          </c:xVal>
          <c:yVal>
            <c:numRef>
              <c:f>'[1]Forbrugsberegner 1'!$O$23:$O$25</c:f>
              <c:numCache>
                <c:formatCode>General</c:formatCode>
                <c:ptCount val="3"/>
                <c:pt idx="0">
                  <c:v>0.98504999999999998</c:v>
                </c:pt>
                <c:pt idx="1">
                  <c:v>0.83129999999999993</c:v>
                </c:pt>
                <c:pt idx="2">
                  <c:v>0.75660000000000005</c:v>
                </c:pt>
              </c:numCache>
            </c:numRef>
          </c:yVal>
          <c:smooth val="0"/>
          <c:extLst>
            <c:ext xmlns:c16="http://schemas.microsoft.com/office/drawing/2014/chart" uri="{C3380CC4-5D6E-409C-BE32-E72D297353CC}">
              <c16:uniqueId val="{00000000-A712-4976-A491-D03864531918}"/>
            </c:ext>
          </c:extLst>
        </c:ser>
        <c:dLbls>
          <c:showLegendKey val="0"/>
          <c:showVal val="0"/>
          <c:showCatName val="0"/>
          <c:showSerName val="0"/>
          <c:showPercent val="0"/>
          <c:showBubbleSize val="0"/>
        </c:dLbls>
        <c:axId val="432892416"/>
        <c:axId val="432891432"/>
      </c:scatterChart>
      <c:valAx>
        <c:axId val="4328924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432891432"/>
        <c:crosses val="autoZero"/>
        <c:crossBetween val="midCat"/>
      </c:valAx>
      <c:valAx>
        <c:axId val="4328914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4328924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og"/>
            <c:dispRSqr val="0"/>
            <c:dispEq val="1"/>
            <c:trendlineLbl>
              <c:layout>
                <c:manualLayout>
                  <c:x val="0.10171345206287175"/>
                  <c:y val="-0.1757034120734908"/>
                </c:manualLayout>
              </c:layout>
              <c:numFmt formatCode="General" sourceLinked="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trendlineLbl>
          </c:trendline>
          <c:xVal>
            <c:numRef>
              <c:f>'[1]Forbrugsberegner 1'!$N$32:$N$34</c:f>
              <c:numCache>
                <c:formatCode>General</c:formatCode>
                <c:ptCount val="3"/>
                <c:pt idx="0">
                  <c:v>1</c:v>
                </c:pt>
                <c:pt idx="1">
                  <c:v>10</c:v>
                </c:pt>
                <c:pt idx="2">
                  <c:v>30</c:v>
                </c:pt>
              </c:numCache>
            </c:numRef>
          </c:xVal>
          <c:yVal>
            <c:numRef>
              <c:f>'[1]Forbrugsberegner 1'!$O$32:$O$34</c:f>
              <c:numCache>
                <c:formatCode>General</c:formatCode>
                <c:ptCount val="3"/>
                <c:pt idx="0">
                  <c:v>0.96534900000000001</c:v>
                </c:pt>
                <c:pt idx="1">
                  <c:v>0.8146739999999999</c:v>
                </c:pt>
                <c:pt idx="2">
                  <c:v>0.74146800000000002</c:v>
                </c:pt>
              </c:numCache>
            </c:numRef>
          </c:yVal>
          <c:smooth val="0"/>
          <c:extLst>
            <c:ext xmlns:c16="http://schemas.microsoft.com/office/drawing/2014/chart" uri="{C3380CC4-5D6E-409C-BE32-E72D297353CC}">
              <c16:uniqueId val="{00000000-5756-4836-9239-D6F4212A8DBC}"/>
            </c:ext>
          </c:extLst>
        </c:ser>
        <c:dLbls>
          <c:showLegendKey val="0"/>
          <c:showVal val="0"/>
          <c:showCatName val="0"/>
          <c:showSerName val="0"/>
          <c:showPercent val="0"/>
          <c:showBubbleSize val="0"/>
        </c:dLbls>
        <c:axId val="432892416"/>
        <c:axId val="432891432"/>
      </c:scatterChart>
      <c:valAx>
        <c:axId val="4328924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432891432"/>
        <c:crosses val="autoZero"/>
        <c:crossBetween val="midCat"/>
      </c:valAx>
      <c:valAx>
        <c:axId val="4328914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4328924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og"/>
            <c:dispRSqr val="0"/>
            <c:dispEq val="1"/>
            <c:trendlineLbl>
              <c:layout>
                <c:manualLayout>
                  <c:x val="9.7515920872240369E-2"/>
                  <c:y val="-0.15175721784776902"/>
                </c:manualLayout>
              </c:layout>
              <c:numFmt formatCode="General" sourceLinked="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trendlineLbl>
          </c:trendline>
          <c:xVal>
            <c:numRef>
              <c:f>'[1]Forbrugsberegner 1'!$N$41:$N$43</c:f>
              <c:numCache>
                <c:formatCode>General</c:formatCode>
                <c:ptCount val="3"/>
                <c:pt idx="0">
                  <c:v>1</c:v>
                </c:pt>
                <c:pt idx="1">
                  <c:v>10</c:v>
                </c:pt>
                <c:pt idx="2">
                  <c:v>30</c:v>
                </c:pt>
              </c:numCache>
            </c:numRef>
          </c:xVal>
          <c:yVal>
            <c:numRef>
              <c:f>'[1]Forbrugsberegner 1'!$O$41:$O$43</c:f>
              <c:numCache>
                <c:formatCode>General</c:formatCode>
                <c:ptCount val="3"/>
                <c:pt idx="0">
                  <c:v>0.92643952499999993</c:v>
                </c:pt>
                <c:pt idx="1">
                  <c:v>0.75649999999999995</c:v>
                </c:pt>
                <c:pt idx="2">
                  <c:v>0.67313999999999996</c:v>
                </c:pt>
              </c:numCache>
            </c:numRef>
          </c:yVal>
          <c:smooth val="0"/>
          <c:extLst>
            <c:ext xmlns:c16="http://schemas.microsoft.com/office/drawing/2014/chart" uri="{C3380CC4-5D6E-409C-BE32-E72D297353CC}">
              <c16:uniqueId val="{00000000-F445-4BC6-9C00-A03F4F278EC1}"/>
            </c:ext>
          </c:extLst>
        </c:ser>
        <c:dLbls>
          <c:showLegendKey val="0"/>
          <c:showVal val="0"/>
          <c:showCatName val="0"/>
          <c:showSerName val="0"/>
          <c:showPercent val="0"/>
          <c:showBubbleSize val="0"/>
        </c:dLbls>
        <c:axId val="432892416"/>
        <c:axId val="432891432"/>
      </c:scatterChart>
      <c:valAx>
        <c:axId val="4328924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432891432"/>
        <c:crosses val="autoZero"/>
        <c:crossBetween val="midCat"/>
      </c:valAx>
      <c:valAx>
        <c:axId val="432891432"/>
        <c:scaling>
          <c:orientation val="minMax"/>
          <c:max val="1.2"/>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4328924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og"/>
            <c:dispRSqr val="0"/>
            <c:dispEq val="1"/>
            <c:trendlineLbl>
              <c:layout>
                <c:manualLayout>
                  <c:x val="9.7515920872240369E-2"/>
                  <c:y val="-0.15175721784776902"/>
                </c:manualLayout>
              </c:layout>
              <c:numFmt formatCode="General" sourceLinked="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trendlineLbl>
          </c:trendline>
          <c:xVal>
            <c:numRef>
              <c:f>'[1]Forbrugsberegner 1'!$N$50:$N$52</c:f>
              <c:numCache>
                <c:formatCode>General</c:formatCode>
                <c:ptCount val="3"/>
                <c:pt idx="0">
                  <c:v>1</c:v>
                </c:pt>
                <c:pt idx="1">
                  <c:v>10</c:v>
                </c:pt>
                <c:pt idx="2">
                  <c:v>30</c:v>
                </c:pt>
              </c:numCache>
            </c:numRef>
          </c:xVal>
          <c:yVal>
            <c:numRef>
              <c:f>'[1]Forbrugsberegner 1'!$O$50:$O$52</c:f>
              <c:numCache>
                <c:formatCode>General</c:formatCode>
                <c:ptCount val="3"/>
                <c:pt idx="0">
                  <c:v>0.92643952499999993</c:v>
                </c:pt>
                <c:pt idx="1">
                  <c:v>0.75649999999999995</c:v>
                </c:pt>
                <c:pt idx="2">
                  <c:v>0.67313999999999996</c:v>
                </c:pt>
              </c:numCache>
            </c:numRef>
          </c:yVal>
          <c:smooth val="0"/>
          <c:extLst>
            <c:ext xmlns:c16="http://schemas.microsoft.com/office/drawing/2014/chart" uri="{C3380CC4-5D6E-409C-BE32-E72D297353CC}">
              <c16:uniqueId val="{00000000-EF2F-4E24-8DA0-61FE9DC7419F}"/>
            </c:ext>
          </c:extLst>
        </c:ser>
        <c:dLbls>
          <c:showLegendKey val="0"/>
          <c:showVal val="0"/>
          <c:showCatName val="0"/>
          <c:showSerName val="0"/>
          <c:showPercent val="0"/>
          <c:showBubbleSize val="0"/>
        </c:dLbls>
        <c:axId val="432892416"/>
        <c:axId val="432891432"/>
      </c:scatterChart>
      <c:valAx>
        <c:axId val="4328924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432891432"/>
        <c:crosses val="autoZero"/>
        <c:crossBetween val="midCat"/>
      </c:valAx>
      <c:valAx>
        <c:axId val="432891432"/>
        <c:scaling>
          <c:orientation val="minMax"/>
          <c:max val="1.2"/>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4328924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14</xdr:col>
      <xdr:colOff>649</xdr:colOff>
      <xdr:row>1</xdr:row>
      <xdr:rowOff>3810</xdr:rowOff>
    </xdr:from>
    <xdr:to>
      <xdr:col>15</xdr:col>
      <xdr:colOff>629240</xdr:colOff>
      <xdr:row>2</xdr:row>
      <xdr:rowOff>385381</xdr:rowOff>
    </xdr:to>
    <xdr:pic>
      <xdr:nvPicPr>
        <xdr:cNvPr id="2" name="Picture 1" descr="Energistyrelsen søger en Kontorchef til energiadministrativt kraftcenter i  Esbjerg - Altinget - Alt om politik">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58799" y="89535"/>
          <a:ext cx="1133416" cy="5625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526224</xdr:colOff>
      <xdr:row>14</xdr:row>
      <xdr:rowOff>114300</xdr:rowOff>
    </xdr:from>
    <xdr:to>
      <xdr:col>9</xdr:col>
      <xdr:colOff>139756</xdr:colOff>
      <xdr:row>18</xdr:row>
      <xdr:rowOff>139976</xdr:rowOff>
    </xdr:to>
    <xdr:pic>
      <xdr:nvPicPr>
        <xdr:cNvPr id="3"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12474" y="2447925"/>
          <a:ext cx="889882" cy="701951"/>
        </a:xfrm>
        <a:prstGeom prst="rect">
          <a:avLst/>
        </a:prstGeom>
      </xdr:spPr>
    </xdr:pic>
    <xdr:clientData/>
  </xdr:twoCellAnchor>
  <xdr:twoCellAnchor editAs="oneCell">
    <xdr:from>
      <xdr:col>3</xdr:col>
      <xdr:colOff>797753</xdr:colOff>
      <xdr:row>14</xdr:row>
      <xdr:rowOff>114301</xdr:rowOff>
    </xdr:from>
    <xdr:to>
      <xdr:col>4</xdr:col>
      <xdr:colOff>818484</xdr:colOff>
      <xdr:row>18</xdr:row>
      <xdr:rowOff>139978</xdr:rowOff>
    </xdr:to>
    <xdr:pic>
      <xdr:nvPicPr>
        <xdr:cNvPr id="4"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12178" y="2447926"/>
          <a:ext cx="820831" cy="7019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20651</xdr:colOff>
      <xdr:row>1</xdr:row>
      <xdr:rowOff>129540</xdr:rowOff>
    </xdr:from>
    <xdr:to>
      <xdr:col>14</xdr:col>
      <xdr:colOff>418420</xdr:colOff>
      <xdr:row>3</xdr:row>
      <xdr:rowOff>107569</xdr:rowOff>
    </xdr:to>
    <xdr:pic>
      <xdr:nvPicPr>
        <xdr:cNvPr id="2" name="Picture 2" descr="Energistyrelsen søger en Kontorchef til energiadministrativt kraftcenter i  Esbjerg - Altinget - Alt om politik">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40726" y="281940"/>
          <a:ext cx="1235969" cy="5590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24577</xdr:colOff>
      <xdr:row>0</xdr:row>
      <xdr:rowOff>0</xdr:rowOff>
    </xdr:from>
    <xdr:to>
      <xdr:col>16</xdr:col>
      <xdr:colOff>487905</xdr:colOff>
      <xdr:row>3</xdr:row>
      <xdr:rowOff>21844</xdr:rowOff>
    </xdr:to>
    <xdr:pic>
      <xdr:nvPicPr>
        <xdr:cNvPr id="2" name="Picture 1" descr="Energistyrelsen søger en Kontorchef til energiadministrativt kraftcenter i  Esbjerg - Altinget - Alt om politik">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4402" y="0"/>
          <a:ext cx="1072928" cy="6314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0</xdr:colOff>
      <xdr:row>12</xdr:row>
      <xdr:rowOff>0</xdr:rowOff>
    </xdr:from>
    <xdr:to>
      <xdr:col>16</xdr:col>
      <xdr:colOff>55563</xdr:colOff>
      <xdr:row>45</xdr:row>
      <xdr:rowOff>149225</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6655594" y="2559844"/>
          <a:ext cx="4222750" cy="6685756"/>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7000"/>
            </a:lnSpc>
            <a:spcAft>
              <a:spcPts val="800"/>
            </a:spcAft>
          </a:pPr>
          <a:r>
            <a:rPr lang="da-DK" sz="900" b="1">
              <a:solidFill>
                <a:sysClr val="windowText" lastClr="000000"/>
              </a:solidFill>
              <a:effectLst/>
              <a:latin typeface="Verdana" panose="020B0604030504040204" pitchFamily="34" charset="0"/>
              <a:ea typeface="Verdana" panose="020B0604030504040204" pitchFamily="34" charset="0"/>
              <a:cs typeface="Times New Roman" panose="02020603050405020304" pitchFamily="18" charset="0"/>
            </a:rPr>
            <a:t>Dokumentationskrav</a:t>
          </a:r>
          <a:r>
            <a:rPr lang="da-DK" sz="900" b="1" baseline="0">
              <a:solidFill>
                <a:sysClr val="windowText" lastClr="000000"/>
              </a:solidFill>
              <a:effectLst/>
              <a:latin typeface="Verdana" panose="020B0604030504040204" pitchFamily="34" charset="0"/>
              <a:ea typeface="Verdana" panose="020B0604030504040204" pitchFamily="34" charset="0"/>
              <a:cs typeface="Times New Roman" panose="02020603050405020304" pitchFamily="18" charset="0"/>
            </a:rPr>
            <a:t> ved ansøgningstidspunktet</a:t>
          </a:r>
          <a:r>
            <a:rPr lang="da-DK" sz="900" b="1">
              <a:solidFill>
                <a:sysClr val="windowText" lastClr="000000"/>
              </a:solidFill>
              <a:effectLst/>
              <a:latin typeface="Verdana" panose="020B0604030504040204" pitchFamily="34" charset="0"/>
              <a:ea typeface="Verdana" panose="020B0604030504040204" pitchFamily="34" charset="0"/>
              <a:cs typeface="Times New Roman" panose="02020603050405020304" pitchFamily="18" charset="0"/>
            </a:rPr>
            <a:t>:</a:t>
          </a:r>
          <a:endParaRPr lang="da-DK" sz="900">
            <a:solidFill>
              <a:sysClr val="windowText" lastClr="000000"/>
            </a:solidFill>
            <a:effectLst/>
            <a:latin typeface="Verdana" panose="020B0604030504040204" pitchFamily="34" charset="0"/>
            <a:ea typeface="Verdana" panose="020B0604030504040204" pitchFamily="34" charset="0"/>
            <a:cs typeface="Times New Roman" panose="02020603050405020304" pitchFamily="18" charset="0"/>
          </a:endParaRPr>
        </a:p>
        <a:p>
          <a:pPr marL="342900" lvl="0" indent="-342900">
            <a:lnSpc>
              <a:spcPct val="107000"/>
            </a:lnSpc>
            <a:spcAft>
              <a:spcPts val="800"/>
            </a:spcAft>
            <a:buFont typeface="Symbol" panose="05050102010706020507" pitchFamily="18" charset="2"/>
            <a:buChar char=""/>
          </a:pPr>
          <a:r>
            <a:rPr lang="da-DK" sz="1100">
              <a:solidFill>
                <a:sysClr val="windowText" lastClr="000000"/>
              </a:solidFill>
              <a:effectLst/>
              <a:latin typeface="+mn-lt"/>
              <a:ea typeface="+mn-ea"/>
              <a:cs typeface="+mn-cs"/>
            </a:rPr>
            <a:t>Der skal indsendes foto af</a:t>
          </a:r>
          <a:r>
            <a:rPr lang="da-DK" sz="1100" baseline="0">
              <a:solidFill>
                <a:sysClr val="windowText" lastClr="000000"/>
              </a:solidFill>
              <a:effectLst/>
              <a:latin typeface="+mn-lt"/>
              <a:ea typeface="+mn-ea"/>
              <a:cs typeface="+mn-cs"/>
            </a:rPr>
            <a:t> </a:t>
          </a:r>
          <a:r>
            <a:rPr lang="da-DK" sz="1100">
              <a:solidFill>
                <a:sysClr val="windowText" lastClr="000000"/>
              </a:solidFill>
              <a:effectLst/>
              <a:latin typeface="+mn-lt"/>
              <a:ea typeface="+mn-ea"/>
              <a:cs typeface="+mn-cs"/>
            </a:rPr>
            <a:t>hver type af facadeelement/konstruktion, som udskiftes/renoveres.</a:t>
          </a:r>
        </a:p>
        <a:p>
          <a:pPr marL="342900" marR="0" lvl="0" indent="-342900" defTabSz="914400" eaLnBrk="1" fontAlgn="auto" latinLnBrk="0" hangingPunct="1">
            <a:lnSpc>
              <a:spcPct val="107000"/>
            </a:lnSpc>
            <a:spcBef>
              <a:spcPts val="0"/>
            </a:spcBef>
            <a:spcAft>
              <a:spcPts val="800"/>
            </a:spcAft>
            <a:buClrTx/>
            <a:buSzTx/>
            <a:buFont typeface="Symbol" panose="05050102010706020507" pitchFamily="18" charset="2"/>
            <a:buChar char=""/>
            <a:tabLst/>
            <a:defRPr/>
          </a:pPr>
          <a:r>
            <a:rPr lang="da-DK" sz="1100">
              <a:solidFill>
                <a:sysClr val="windowText" lastClr="000000"/>
              </a:solidFill>
              <a:effectLst/>
              <a:latin typeface="+mn-lt"/>
              <a:ea typeface="+mn-ea"/>
              <a:cs typeface="+mn-cs"/>
            </a:rPr>
            <a:t>Der skal indsendes dokumentation, der sandsynliggør det samlede areal for udskiftningen/renoveringen. Dette kan eksempelvis være et tilbud, billeder, plantegninger mm. </a:t>
          </a:r>
        </a:p>
        <a:p>
          <a:pPr marL="342900" marR="0" lvl="0" indent="-342900" defTabSz="914400" eaLnBrk="1" fontAlgn="auto" latinLnBrk="0" hangingPunct="1">
            <a:lnSpc>
              <a:spcPct val="107000"/>
            </a:lnSpc>
            <a:spcBef>
              <a:spcPts val="0"/>
            </a:spcBef>
            <a:spcAft>
              <a:spcPts val="800"/>
            </a:spcAft>
            <a:buClrTx/>
            <a:buSzTx/>
            <a:buFont typeface="Symbol" panose="05050102010706020507" pitchFamily="18" charset="2"/>
            <a:buChar char=""/>
            <a:tabLst/>
            <a:defRPr/>
          </a:pPr>
          <a:r>
            <a:rPr lang="da-DK" sz="1100">
              <a:solidFill>
                <a:sysClr val="windowText" lastClr="000000"/>
              </a:solidFill>
              <a:effectLst/>
              <a:latin typeface="+mn-lt"/>
              <a:ea typeface="+mn-ea"/>
              <a:cs typeface="+mn-cs"/>
            </a:rPr>
            <a:t>Budget over de forventede støtteberettigede omkostninger for projektet. Budgettet kan udfyldes i Energistyrelsens budgetskabelon, som findes på </a:t>
          </a:r>
          <a:r>
            <a:rPr lang="da-DK" sz="1100" u="sng">
              <a:solidFill>
                <a:sysClr val="windowText" lastClr="000000"/>
              </a:solidFill>
              <a:effectLst/>
              <a:latin typeface="+mn-lt"/>
              <a:ea typeface="+mn-ea"/>
              <a:cs typeface="+mn-cs"/>
              <a:hlinkClick xmlns:r="http://schemas.openxmlformats.org/officeDocument/2006/relationships" r:id=""/>
            </a:rPr>
            <a:t>Sparenergi</a:t>
          </a:r>
          <a:r>
            <a:rPr lang="da-DK" sz="1100">
              <a:solidFill>
                <a:sysClr val="windowText" lastClr="000000"/>
              </a:solidFill>
              <a:effectLst/>
              <a:latin typeface="+mn-lt"/>
              <a:ea typeface="+mn-ea"/>
              <a:cs typeface="+mn-cs"/>
            </a:rPr>
            <a:t> under </a:t>
          </a:r>
          <a:r>
            <a:rPr lang="da-DK" sz="1100" i="1">
              <a:solidFill>
                <a:sysClr val="windowText" lastClr="000000"/>
              </a:solidFill>
              <a:effectLst/>
              <a:latin typeface="+mn-lt"/>
              <a:ea typeface="+mn-ea"/>
              <a:cs typeface="+mn-cs"/>
            </a:rPr>
            <a:t>hjælpeværktøjer</a:t>
          </a:r>
          <a:r>
            <a:rPr lang="da-DK" sz="1100">
              <a:solidFill>
                <a:sysClr val="windowText" lastClr="000000"/>
              </a:solidFill>
              <a:effectLst/>
              <a:latin typeface="+mn-lt"/>
              <a:ea typeface="+mn-ea"/>
              <a:cs typeface="+mn-cs"/>
            </a:rPr>
            <a:t>. Støtteberettigede omkostninger er eksempelvis nødvendige anlægsomkostninger eller ekstern rådgivning. Bemærk, hvis projektet omhandler en bygning, som indeholder både beboelse og erhverv skal de investeringsomkostninger, der vedrører beboelsen fratrækkes i budgettet.  </a:t>
          </a:r>
        </a:p>
        <a:p>
          <a:pPr marL="0" marR="0" lvl="0" indent="0" defTabSz="914400" eaLnBrk="1" fontAlgn="auto" latinLnBrk="0" hangingPunct="1">
            <a:lnSpc>
              <a:spcPct val="107000"/>
            </a:lnSpc>
            <a:spcBef>
              <a:spcPts val="0"/>
            </a:spcBef>
            <a:spcAft>
              <a:spcPts val="800"/>
            </a:spcAft>
            <a:buClrTx/>
            <a:buSzTx/>
            <a:buFontTx/>
            <a:buNone/>
            <a:tabLst/>
            <a:defRPr/>
          </a:pPr>
          <a:r>
            <a:rPr lang="da-DK" sz="1100" b="1">
              <a:solidFill>
                <a:sysClr val="windowText" lastClr="000000"/>
              </a:solidFill>
              <a:effectLst/>
              <a:latin typeface="+mn-lt"/>
              <a:ea typeface="+mn-ea"/>
              <a:cs typeface="+mn-cs"/>
            </a:rPr>
            <a:t>Dokumentationskrav</a:t>
          </a:r>
          <a:r>
            <a:rPr lang="da-DK" sz="1100" b="1" baseline="0">
              <a:solidFill>
                <a:sysClr val="windowText" lastClr="000000"/>
              </a:solidFill>
              <a:effectLst/>
              <a:latin typeface="+mn-lt"/>
              <a:ea typeface="+mn-ea"/>
              <a:cs typeface="+mn-cs"/>
            </a:rPr>
            <a:t> ved  udbetalingstidspunktet</a:t>
          </a:r>
          <a:r>
            <a:rPr lang="da-DK" sz="1100" b="1">
              <a:solidFill>
                <a:sysClr val="windowText" lastClr="000000"/>
              </a:solidFill>
              <a:effectLst/>
              <a:latin typeface="+mn-lt"/>
              <a:ea typeface="+mn-ea"/>
              <a:cs typeface="+mn-cs"/>
            </a:rPr>
            <a:t>:</a:t>
          </a:r>
          <a:endParaRPr lang="da-DK">
            <a:solidFill>
              <a:sysClr val="windowText" lastClr="000000"/>
            </a:solidFill>
            <a:effectLst/>
          </a:endParaRPr>
        </a:p>
        <a:p>
          <a:pPr marL="342900" marR="0" lvl="0" indent="-342900" defTabSz="914400" eaLnBrk="1" fontAlgn="auto" latinLnBrk="0" hangingPunct="1">
            <a:lnSpc>
              <a:spcPct val="107000"/>
            </a:lnSpc>
            <a:spcBef>
              <a:spcPts val="0"/>
            </a:spcBef>
            <a:spcAft>
              <a:spcPts val="800"/>
            </a:spcAft>
            <a:buClrTx/>
            <a:buSzTx/>
            <a:buFont typeface="Symbol" panose="05050102010706020507" pitchFamily="18" charset="2"/>
            <a:buChar char=""/>
            <a:tabLst/>
            <a:defRPr/>
          </a:pPr>
          <a:r>
            <a:rPr lang="da-DK" sz="1100">
              <a:solidFill>
                <a:sysClr val="windowText" lastClr="000000"/>
              </a:solidFill>
              <a:effectLst/>
              <a:latin typeface="+mn-lt"/>
              <a:ea typeface="+mn-ea"/>
              <a:cs typeface="+mn-cs"/>
            </a:rPr>
            <a:t>Dokumentation</a:t>
          </a:r>
          <a:r>
            <a:rPr lang="da-DK" sz="1100" baseline="0">
              <a:solidFill>
                <a:sysClr val="windowText" lastClr="000000"/>
              </a:solidFill>
              <a:effectLst/>
              <a:latin typeface="+mn-lt"/>
              <a:ea typeface="+mn-ea"/>
              <a:cs typeface="+mn-cs"/>
            </a:rPr>
            <a:t> for </a:t>
          </a:r>
          <a:r>
            <a:rPr lang="da-DK" sz="1100">
              <a:solidFill>
                <a:sysClr val="windowText" lastClr="000000"/>
              </a:solidFill>
              <a:effectLst/>
              <a:latin typeface="+mn-lt"/>
              <a:ea typeface="+mn-ea"/>
              <a:cs typeface="+mn-cs"/>
            </a:rPr>
            <a:t>udskiftningen/renoveringen fx udspecificering på fakturaer og billeder af ny facade, nye konstruktioner samt is</a:t>
          </a:r>
          <a:r>
            <a:rPr lang="da-DK" sz="1100" baseline="0">
              <a:solidFill>
                <a:sysClr val="windowText" lastClr="000000"/>
              </a:solidFill>
              <a:effectLst/>
              <a:latin typeface="+mn-lt"/>
              <a:ea typeface="+mn-ea"/>
              <a:cs typeface="+mn-cs"/>
            </a:rPr>
            <a:t>oleringstykkelse. </a:t>
          </a:r>
        </a:p>
        <a:p>
          <a:pPr marL="342900" marR="0" lvl="0" indent="-342900" defTabSz="914400" eaLnBrk="1" fontAlgn="auto" latinLnBrk="0" hangingPunct="1">
            <a:lnSpc>
              <a:spcPct val="107000"/>
            </a:lnSpc>
            <a:spcBef>
              <a:spcPts val="0"/>
            </a:spcBef>
            <a:spcAft>
              <a:spcPts val="800"/>
            </a:spcAft>
            <a:buClrTx/>
            <a:buSzTx/>
            <a:buFont typeface="Symbol" panose="05050102010706020507" pitchFamily="18" charset="2"/>
            <a:buChar char=""/>
            <a:tabLst/>
            <a:defRPr/>
          </a:pPr>
          <a:r>
            <a:rPr lang="da-DK" sz="1100">
              <a:solidFill>
                <a:schemeClr val="dk1"/>
              </a:solidFill>
              <a:effectLst/>
              <a:latin typeface="+mn-lt"/>
              <a:ea typeface="+mn-ea"/>
              <a:cs typeface="+mn-cs"/>
            </a:rPr>
            <a:t>Dokumentation på at projektet er realiseret. Som dokumentation for realisering indsendes fakturaer på støtteberettigede omkostninger samt dokumentation på betaling af omkostninger ved en bankudskrift. Du kan blive bedt om at dokumentere, at projektet ikke er påbegyndt, inden du søgte om tilskud, fx en ordrebekræftelse. Yderligere information omkring regnskabsbilag findes i kap. 4.2 i</a:t>
          </a:r>
          <a:r>
            <a:rPr lang="da-DK" sz="1100" baseline="0">
              <a:solidFill>
                <a:schemeClr val="dk1"/>
              </a:solidFill>
              <a:effectLst/>
              <a:latin typeface="+mn-lt"/>
              <a:ea typeface="+mn-ea"/>
              <a:cs typeface="+mn-cs"/>
            </a:rPr>
            <a:t> V</a:t>
          </a:r>
          <a:r>
            <a:rPr lang="da-DK" sz="1100">
              <a:solidFill>
                <a:schemeClr val="dk1"/>
              </a:solidFill>
              <a:effectLst/>
              <a:latin typeface="+mn-lt"/>
              <a:ea typeface="+mn-ea"/>
              <a:cs typeface="+mn-cs"/>
            </a:rPr>
            <a:t>ejledning</a:t>
          </a:r>
          <a:r>
            <a:rPr lang="da-DK" sz="1100" baseline="0">
              <a:solidFill>
                <a:schemeClr val="dk1"/>
              </a:solidFill>
              <a:effectLst/>
              <a:latin typeface="+mn-lt"/>
              <a:ea typeface="+mn-ea"/>
              <a:cs typeface="+mn-cs"/>
            </a:rPr>
            <a:t> til ansøgning.</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p>
      </xdr:txBody>
    </xdr:sp>
    <xdr:clientData/>
  </xdr:twoCellAnchor>
  <mc:AlternateContent xmlns:mc="http://schemas.openxmlformats.org/markup-compatibility/2006">
    <mc:Choice xmlns:a14="http://schemas.microsoft.com/office/drawing/2010/main" Requires="a14">
      <xdr:twoCellAnchor editAs="oneCell">
        <xdr:from>
          <xdr:col>13</xdr:col>
          <xdr:colOff>502920</xdr:colOff>
          <xdr:row>39</xdr:row>
          <xdr:rowOff>60960</xdr:rowOff>
        </xdr:from>
        <xdr:to>
          <xdr:col>14</xdr:col>
          <xdr:colOff>998220</xdr:colOff>
          <xdr:row>46</xdr:row>
          <xdr:rowOff>175260</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30</xdr:col>
      <xdr:colOff>1</xdr:colOff>
      <xdr:row>1</xdr:row>
      <xdr:rowOff>0</xdr:rowOff>
    </xdr:from>
    <xdr:to>
      <xdr:col>35</xdr:col>
      <xdr:colOff>1</xdr:colOff>
      <xdr:row>9</xdr:row>
      <xdr:rowOff>0</xdr:rowOff>
    </xdr:to>
    <xdr:graphicFrame macro="">
      <xdr:nvGraphicFramePr>
        <xdr:cNvPr id="2" name="Diagram 1">
          <a:extLst>
            <a:ext uri="{FF2B5EF4-FFF2-40B4-BE49-F238E27FC236}">
              <a16:creationId xmlns:a16="http://schemas.microsoft.com/office/drawing/2014/main" id="{3FE0A845-F369-4305-B4DF-1998AD789F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0</xdr:colOff>
      <xdr:row>1</xdr:row>
      <xdr:rowOff>1</xdr:rowOff>
    </xdr:from>
    <xdr:to>
      <xdr:col>26</xdr:col>
      <xdr:colOff>0</xdr:colOff>
      <xdr:row>9</xdr:row>
      <xdr:rowOff>0</xdr:rowOff>
    </xdr:to>
    <xdr:graphicFrame macro="">
      <xdr:nvGraphicFramePr>
        <xdr:cNvPr id="3" name="Diagram 2">
          <a:extLst>
            <a:ext uri="{FF2B5EF4-FFF2-40B4-BE49-F238E27FC236}">
              <a16:creationId xmlns:a16="http://schemas.microsoft.com/office/drawing/2014/main" id="{6505B91C-C932-4BE9-9052-B725884A0D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840438</xdr:colOff>
      <xdr:row>17</xdr:row>
      <xdr:rowOff>558</xdr:rowOff>
    </xdr:from>
    <xdr:to>
      <xdr:col>10</xdr:col>
      <xdr:colOff>301997</xdr:colOff>
      <xdr:row>39</xdr:row>
      <xdr:rowOff>133909</xdr:rowOff>
    </xdr:to>
    <xdr:graphicFrame macro="">
      <xdr:nvGraphicFramePr>
        <xdr:cNvPr id="4" name="Diagram 4">
          <a:extLst>
            <a:ext uri="{FF2B5EF4-FFF2-40B4-BE49-F238E27FC236}">
              <a16:creationId xmlns:a16="http://schemas.microsoft.com/office/drawing/2014/main" id="{711CC444-FA74-406B-BCB0-46DB9DE156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1</xdr:colOff>
      <xdr:row>11</xdr:row>
      <xdr:rowOff>0</xdr:rowOff>
    </xdr:from>
    <xdr:to>
      <xdr:col>26</xdr:col>
      <xdr:colOff>1</xdr:colOff>
      <xdr:row>19</xdr:row>
      <xdr:rowOff>0</xdr:rowOff>
    </xdr:to>
    <xdr:graphicFrame macro="">
      <xdr:nvGraphicFramePr>
        <xdr:cNvPr id="5" name="Diagram 5">
          <a:extLst>
            <a:ext uri="{FF2B5EF4-FFF2-40B4-BE49-F238E27FC236}">
              <a16:creationId xmlns:a16="http://schemas.microsoft.com/office/drawing/2014/main" id="{C2770DCA-05F3-47D0-B45C-3BF352B3E9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1</xdr:colOff>
      <xdr:row>20</xdr:row>
      <xdr:rowOff>0</xdr:rowOff>
    </xdr:from>
    <xdr:to>
      <xdr:col>26</xdr:col>
      <xdr:colOff>1</xdr:colOff>
      <xdr:row>28</xdr:row>
      <xdr:rowOff>0</xdr:rowOff>
    </xdr:to>
    <xdr:graphicFrame macro="">
      <xdr:nvGraphicFramePr>
        <xdr:cNvPr id="6" name="Diagram 6">
          <a:extLst>
            <a:ext uri="{FF2B5EF4-FFF2-40B4-BE49-F238E27FC236}">
              <a16:creationId xmlns:a16="http://schemas.microsoft.com/office/drawing/2014/main" id="{638E667A-FB66-4B9D-B612-334FFA54F8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1</xdr:colOff>
      <xdr:row>29</xdr:row>
      <xdr:rowOff>0</xdr:rowOff>
    </xdr:from>
    <xdr:to>
      <xdr:col>26</xdr:col>
      <xdr:colOff>1</xdr:colOff>
      <xdr:row>37</xdr:row>
      <xdr:rowOff>0</xdr:rowOff>
    </xdr:to>
    <xdr:graphicFrame macro="">
      <xdr:nvGraphicFramePr>
        <xdr:cNvPr id="7" name="Diagram 7">
          <a:extLst>
            <a:ext uri="{FF2B5EF4-FFF2-40B4-BE49-F238E27FC236}">
              <a16:creationId xmlns:a16="http://schemas.microsoft.com/office/drawing/2014/main" id="{A84C59AD-D5ED-4C97-AFA1-EF63D75A4B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21</xdr:col>
      <xdr:colOff>1</xdr:colOff>
      <xdr:row>38</xdr:row>
      <xdr:rowOff>0</xdr:rowOff>
    </xdr:from>
    <xdr:to>
      <xdr:col>26</xdr:col>
      <xdr:colOff>1</xdr:colOff>
      <xdr:row>46</xdr:row>
      <xdr:rowOff>0</xdr:rowOff>
    </xdr:to>
    <xdr:graphicFrame macro="">
      <xdr:nvGraphicFramePr>
        <xdr:cNvPr id="8" name="Diagram 8">
          <a:extLst>
            <a:ext uri="{FF2B5EF4-FFF2-40B4-BE49-F238E27FC236}">
              <a16:creationId xmlns:a16="http://schemas.microsoft.com/office/drawing/2014/main" id="{04AE0FB9-2E16-4399-BDA2-A7524B6ABB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21</xdr:col>
      <xdr:colOff>1</xdr:colOff>
      <xdr:row>47</xdr:row>
      <xdr:rowOff>0</xdr:rowOff>
    </xdr:from>
    <xdr:to>
      <xdr:col>26</xdr:col>
      <xdr:colOff>1</xdr:colOff>
      <xdr:row>55</xdr:row>
      <xdr:rowOff>0</xdr:rowOff>
    </xdr:to>
    <xdr:graphicFrame macro="">
      <xdr:nvGraphicFramePr>
        <xdr:cNvPr id="9" name="Diagram 9">
          <a:extLst>
            <a:ext uri="{FF2B5EF4-FFF2-40B4-BE49-F238E27FC236}">
              <a16:creationId xmlns:a16="http://schemas.microsoft.com/office/drawing/2014/main" id="{04AE0FB9-2E16-4399-BDA2-A7524B6ABB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061931/AppData/Local/Microsoft/Windows/INetCache/Content.Outlook/SXQXNP61/RETTES_standardloesning_for_varmeforsyning%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Beskrivelse"/>
      <sheetName val="Tiltag 1"/>
      <sheetName val="Tiltag 2"/>
      <sheetName val="Tiltag 3"/>
      <sheetName val="Tiltag 4"/>
      <sheetName val="Tiltag 5"/>
      <sheetName val="tiltag 6"/>
      <sheetName val="Grise - regneark"/>
      <sheetName val="Nøgletal"/>
      <sheetName val="Forbrugsberegner 1"/>
      <sheetName val="Graddageberegner"/>
      <sheetName val="Virkningsgradsberegner 1"/>
      <sheetName val="Forbrugsberegner 2"/>
      <sheetName val="Virkningsgradsberegner 2"/>
      <sheetName val="Virkningsgradsberegner (2)"/>
      <sheetName val="Forbrugsberegner 5"/>
      <sheetName val="Virkningsgradsberegner 5"/>
      <sheetName val="Kalorifere"/>
      <sheetName val="Forbrugsberegner 3"/>
      <sheetName val="Virkningsgradsberegner 3"/>
      <sheetName val="Kyllinge - regneark"/>
      <sheetName val="Forbrugsberegner 4"/>
      <sheetName val="Virkningsgradsberegner 4"/>
    </sheetNames>
    <sheetDataSet>
      <sheetData sheetId="0"/>
      <sheetData sheetId="1"/>
      <sheetData sheetId="2">
        <row r="17">
          <cell r="G17" t="str">
            <v>Oliekedel</v>
          </cell>
        </row>
        <row r="19">
          <cell r="G19">
            <v>225</v>
          </cell>
        </row>
        <row r="34">
          <cell r="G34" t="str">
            <v>Varmepumpe</v>
          </cell>
        </row>
      </sheetData>
      <sheetData sheetId="3"/>
      <sheetData sheetId="4"/>
      <sheetData sheetId="5"/>
      <sheetData sheetId="6"/>
      <sheetData sheetId="7">
        <row r="18">
          <cell r="C18" t="str">
            <v>Direkte forbrænding</v>
          </cell>
          <cell r="G18" t="str">
            <v>Direkte forbrænding</v>
          </cell>
          <cell r="K18" t="str">
            <v>Direkte forbrænding</v>
          </cell>
        </row>
      </sheetData>
      <sheetData sheetId="8"/>
      <sheetData sheetId="9"/>
      <sheetData sheetId="10">
        <row r="4">
          <cell r="N4" t="str">
            <v>Træpiller</v>
          </cell>
          <cell r="O4">
            <v>0.80466459903965248</v>
          </cell>
          <cell r="AB4">
            <v>1000</v>
          </cell>
          <cell r="AC4">
            <v>0.96</v>
          </cell>
        </row>
        <row r="5">
          <cell r="D5">
            <v>20</v>
          </cell>
          <cell r="N5" t="str">
            <v>Brænde</v>
          </cell>
          <cell r="O5">
            <v>0.78448593767188257</v>
          </cell>
          <cell r="AB5">
            <v>100</v>
          </cell>
          <cell r="AC5">
            <v>0.95</v>
          </cell>
        </row>
        <row r="6">
          <cell r="N6" t="str">
            <v>Flis</v>
          </cell>
          <cell r="O6">
            <v>0.76778166994543662</v>
          </cell>
          <cell r="AB6">
            <v>10</v>
          </cell>
          <cell r="AC6">
            <v>0.94</v>
          </cell>
        </row>
        <row r="7">
          <cell r="N7" t="str">
            <v>Halm</v>
          </cell>
          <cell r="O7">
            <v>0.70511581175700466</v>
          </cell>
        </row>
        <row r="8">
          <cell r="N8" t="str">
            <v>Olie</v>
          </cell>
          <cell r="O8">
            <v>0.78426459903965251</v>
          </cell>
        </row>
        <row r="12">
          <cell r="H12" t="str">
            <v>Træpiller</v>
          </cell>
          <cell r="I12" t="str">
            <v>Brænde</v>
          </cell>
          <cell r="J12" t="str">
            <v>Flis</v>
          </cell>
          <cell r="K12" t="str">
            <v>Halm</v>
          </cell>
        </row>
        <row r="13">
          <cell r="G13">
            <v>1</v>
          </cell>
          <cell r="H13">
            <v>9.8009999999999989E-3</v>
          </cell>
          <cell r="I13">
            <v>9.7519949999999994E-3</v>
          </cell>
          <cell r="J13">
            <v>9.5569551000000003E-3</v>
          </cell>
          <cell r="K13">
            <v>9.1717512974999992E-3</v>
          </cell>
        </row>
        <row r="14">
          <cell r="G14">
            <v>10</v>
          </cell>
          <cell r="H14">
            <v>8.4150000000000006E-3</v>
          </cell>
          <cell r="I14">
            <v>8.2298699999999985E-3</v>
          </cell>
          <cell r="J14">
            <v>8.0652725999999994E-3</v>
          </cell>
          <cell r="K14">
            <v>7.4893499999999988E-3</v>
          </cell>
          <cell r="N14">
            <v>1</v>
          </cell>
          <cell r="O14">
            <v>0.99</v>
          </cell>
        </row>
        <row r="15">
          <cell r="G15">
            <v>30</v>
          </cell>
          <cell r="H15">
            <v>7.7219999999999997E-3</v>
          </cell>
          <cell r="I15">
            <v>7.4903400000000007E-3</v>
          </cell>
          <cell r="J15">
            <v>7.3405331999999998E-3</v>
          </cell>
          <cell r="K15">
            <v>6.6640859999999988E-3</v>
          </cell>
          <cell r="N15">
            <v>10</v>
          </cell>
          <cell r="O15">
            <v>0.85</v>
          </cell>
        </row>
        <row r="16">
          <cell r="N16">
            <v>30</v>
          </cell>
          <cell r="O16">
            <v>0.78</v>
          </cell>
        </row>
        <row r="23">
          <cell r="N23">
            <v>1</v>
          </cell>
          <cell r="O23">
            <v>0.98504999999999998</v>
          </cell>
        </row>
        <row r="24">
          <cell r="N24">
            <v>10</v>
          </cell>
          <cell r="O24">
            <v>0.83129999999999993</v>
          </cell>
        </row>
        <row r="25">
          <cell r="N25">
            <v>30</v>
          </cell>
          <cell r="O25">
            <v>0.75660000000000005</v>
          </cell>
        </row>
        <row r="32">
          <cell r="N32">
            <v>1</v>
          </cell>
          <cell r="O32">
            <v>0.96534900000000001</v>
          </cell>
        </row>
        <row r="33">
          <cell r="N33">
            <v>10</v>
          </cell>
          <cell r="O33">
            <v>0.8146739999999999</v>
          </cell>
        </row>
        <row r="34">
          <cell r="N34">
            <v>30</v>
          </cell>
          <cell r="O34">
            <v>0.74146800000000002</v>
          </cell>
        </row>
        <row r="41">
          <cell r="N41">
            <v>1</v>
          </cell>
          <cell r="O41">
            <v>0.92643952499999993</v>
          </cell>
        </row>
        <row r="42">
          <cell r="N42">
            <v>10</v>
          </cell>
          <cell r="O42">
            <v>0.75649999999999995</v>
          </cell>
        </row>
        <row r="43">
          <cell r="N43">
            <v>30</v>
          </cell>
          <cell r="O43">
            <v>0.67313999999999996</v>
          </cell>
        </row>
        <row r="50">
          <cell r="N50">
            <v>1</v>
          </cell>
          <cell r="O50">
            <v>0.92643952499999993</v>
          </cell>
        </row>
        <row r="51">
          <cell r="N51">
            <v>10</v>
          </cell>
          <cell r="O51">
            <v>0.75649999999999995</v>
          </cell>
        </row>
        <row r="52">
          <cell r="N52">
            <v>30</v>
          </cell>
          <cell r="O52">
            <v>0.67313999999999996</v>
          </cell>
        </row>
        <row r="81">
          <cell r="M81" t="str">
            <v>Naturgas</v>
          </cell>
          <cell r="N81" t="str">
            <v>naturgas</v>
          </cell>
        </row>
        <row r="82">
          <cell r="M82" t="str">
            <v>Fyringsolie</v>
          </cell>
          <cell r="N82" t="str">
            <v>fyringsolie</v>
          </cell>
        </row>
        <row r="83">
          <cell r="M83" t="str">
            <v>Flis</v>
          </cell>
          <cell r="N83" t="str">
            <v>flis</v>
          </cell>
        </row>
        <row r="84">
          <cell r="M84" t="str">
            <v>Træpiller</v>
          </cell>
          <cell r="N84" t="str">
            <v>træpiller</v>
          </cell>
        </row>
        <row r="85">
          <cell r="M85" t="str">
            <v>Stenkul</v>
          </cell>
          <cell r="N85" t="str">
            <v>stenkul</v>
          </cell>
        </row>
        <row r="86">
          <cell r="M86" t="str">
            <v>Koks</v>
          </cell>
          <cell r="N86" t="str">
            <v>koks</v>
          </cell>
        </row>
        <row r="87">
          <cell r="M87" t="str">
            <v>Heavy Fuel Oil</v>
          </cell>
          <cell r="N87" t="str">
            <v>Heavy Fuel Oil</v>
          </cell>
        </row>
        <row r="88">
          <cell r="M88" t="str">
            <v>Halm</v>
          </cell>
          <cell r="N88" t="str">
            <v>halm</v>
          </cell>
        </row>
      </sheetData>
      <sheetData sheetId="11"/>
      <sheetData sheetId="12">
        <row r="76">
          <cell r="D76">
            <v>0.94</v>
          </cell>
        </row>
      </sheetData>
      <sheetData sheetId="13"/>
      <sheetData sheetId="14"/>
      <sheetData sheetId="15"/>
      <sheetData sheetId="16"/>
      <sheetData sheetId="17"/>
      <sheetData sheetId="18">
        <row r="11">
          <cell r="N11">
            <v>0</v>
          </cell>
          <cell r="O11">
            <v>0.97</v>
          </cell>
        </row>
        <row r="12">
          <cell r="N12">
            <v>10</v>
          </cell>
          <cell r="O12">
            <v>0.95</v>
          </cell>
        </row>
        <row r="13">
          <cell r="N13">
            <v>20</v>
          </cell>
          <cell r="O13">
            <v>0.92</v>
          </cell>
        </row>
        <row r="14">
          <cell r="N14">
            <v>30</v>
          </cell>
          <cell r="O14">
            <v>0.88</v>
          </cell>
        </row>
        <row r="15">
          <cell r="N15">
            <v>40</v>
          </cell>
          <cell r="O15">
            <v>0.83</v>
          </cell>
        </row>
        <row r="16">
          <cell r="N16">
            <v>50</v>
          </cell>
          <cell r="O16">
            <v>0.77</v>
          </cell>
        </row>
        <row r="17">
          <cell r="N17">
            <v>72</v>
          </cell>
          <cell r="O17">
            <v>0.77</v>
          </cell>
        </row>
        <row r="36">
          <cell r="N36">
            <v>0</v>
          </cell>
          <cell r="O36">
            <v>0.95</v>
          </cell>
        </row>
        <row r="37">
          <cell r="N37">
            <v>10</v>
          </cell>
          <cell r="O37">
            <v>0.92</v>
          </cell>
        </row>
        <row r="38">
          <cell r="N38">
            <v>20</v>
          </cell>
          <cell r="O38">
            <v>0.88</v>
          </cell>
        </row>
        <row r="39">
          <cell r="N39">
            <v>30</v>
          </cell>
          <cell r="O39">
            <v>0.83</v>
          </cell>
        </row>
        <row r="40">
          <cell r="N40">
            <v>40</v>
          </cell>
          <cell r="O40">
            <v>0.77</v>
          </cell>
        </row>
        <row r="41">
          <cell r="N41">
            <v>50</v>
          </cell>
          <cell r="O41">
            <v>0.72</v>
          </cell>
        </row>
        <row r="42">
          <cell r="N42">
            <v>72</v>
          </cell>
          <cell r="O42">
            <v>0.72</v>
          </cell>
        </row>
      </sheetData>
      <sheetData sheetId="19"/>
      <sheetData sheetId="20"/>
      <sheetData sheetId="21"/>
      <sheetData sheetId="22"/>
      <sheetData sheetId="23"/>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4.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ens.dk/sites/ens.dk/files/CO2/standardfaktorer_for_2019.pdf" TargetMode="External"/><Relationship Id="rId2" Type="http://schemas.openxmlformats.org/officeDocument/2006/relationships/hyperlink" Target="https://ens.dk/sites/ens.dk/files/CO2/standardfaktorer_for_2019.pdf" TargetMode="External"/><Relationship Id="rId1" Type="http://schemas.openxmlformats.org/officeDocument/2006/relationships/hyperlink" Target="https://ens.dk/sites/ens.dk/files/CO2/standardfaktorer_for_2019.pdf"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topLeftCell="A8" workbookViewId="0">
      <selection activeCell="I24" sqref="I24:M24"/>
    </sheetView>
  </sheetViews>
  <sheetFormatPr defaultColWidth="10.44140625" defaultRowHeight="12.75" customHeight="1" x14ac:dyDescent="0.2"/>
  <cols>
    <col min="1" max="1" width="7.44140625" style="51" customWidth="1"/>
    <col min="2" max="2" width="4.44140625" style="51" customWidth="1"/>
    <col min="3" max="3" width="5.44140625" style="51" customWidth="1"/>
    <col min="4" max="4" width="11.44140625" style="51" customWidth="1"/>
    <col min="5" max="5" width="15.44140625" style="51" customWidth="1"/>
    <col min="6" max="6" width="10.44140625" style="51" customWidth="1"/>
    <col min="7" max="7" width="10.5546875" style="51" customWidth="1"/>
    <col min="8" max="8" width="7" style="51" customWidth="1"/>
    <col min="9" max="9" width="11.33203125" style="51" customWidth="1"/>
    <col min="10" max="10" width="6.44140625" style="51" customWidth="1"/>
    <col min="11" max="11" width="4.5546875" style="51" customWidth="1"/>
    <col min="12" max="12" width="3.44140625" style="51" customWidth="1"/>
    <col min="13" max="13" width="10.44140625" style="51" customWidth="1"/>
    <col min="14" max="14" width="12.5546875" style="51" customWidth="1"/>
    <col min="15" max="15" width="7.5546875" style="51" customWidth="1"/>
    <col min="16" max="16384" width="10.44140625" style="51"/>
  </cols>
  <sheetData>
    <row r="1" spans="1:16" ht="6.75" customHeight="1" x14ac:dyDescent="0.2">
      <c r="A1" s="8"/>
      <c r="B1" s="8"/>
      <c r="C1" s="8"/>
      <c r="D1" s="8"/>
      <c r="E1" s="8"/>
      <c r="F1" s="8"/>
      <c r="G1" s="8"/>
      <c r="H1" s="8"/>
      <c r="I1" s="8"/>
      <c r="J1" s="8"/>
      <c r="K1" s="8"/>
      <c r="L1" s="8"/>
      <c r="M1" s="8"/>
      <c r="N1" s="8"/>
      <c r="O1" s="8"/>
      <c r="P1" s="8"/>
    </row>
    <row r="2" spans="1:16" ht="14.25" customHeight="1" x14ac:dyDescent="0.25">
      <c r="A2" s="8"/>
      <c r="B2" s="314" t="s">
        <v>181</v>
      </c>
      <c r="C2" s="314"/>
      <c r="D2" s="314"/>
      <c r="E2" s="314"/>
      <c r="F2" s="314"/>
      <c r="G2" s="314"/>
      <c r="H2" s="231"/>
      <c r="I2" s="315"/>
      <c r="J2" s="315"/>
      <c r="K2" s="315"/>
      <c r="L2" s="315"/>
      <c r="M2" s="315"/>
      <c r="N2" s="315"/>
      <c r="O2" s="12"/>
      <c r="P2" s="232"/>
    </row>
    <row r="3" spans="1:16" ht="31.5" customHeight="1" x14ac:dyDescent="0.2">
      <c r="A3" s="14"/>
      <c r="B3" s="314"/>
      <c r="C3" s="314"/>
      <c r="D3" s="314"/>
      <c r="E3" s="314"/>
      <c r="F3" s="314"/>
      <c r="G3" s="314"/>
      <c r="H3" s="231"/>
      <c r="I3" s="315"/>
      <c r="J3" s="315"/>
      <c r="K3" s="315"/>
      <c r="L3" s="315"/>
      <c r="M3" s="315"/>
      <c r="N3" s="315"/>
      <c r="O3" s="11"/>
      <c r="P3" s="232"/>
    </row>
    <row r="4" spans="1:16" ht="9.75" customHeight="1" x14ac:dyDescent="0.3">
      <c r="A4" s="16"/>
      <c r="B4" s="233"/>
      <c r="C4" s="233"/>
      <c r="D4" s="233"/>
      <c r="E4" s="233"/>
      <c r="F4" s="233"/>
      <c r="G4" s="233"/>
      <c r="H4" s="234"/>
      <c r="I4" s="15"/>
      <c r="J4" s="232"/>
      <c r="K4" s="232"/>
      <c r="L4" s="232"/>
      <c r="M4" s="232"/>
      <c r="N4" s="232"/>
      <c r="O4" s="232"/>
      <c r="P4" s="235" t="s">
        <v>182</v>
      </c>
    </row>
    <row r="5" spans="1:16" ht="12.75" customHeight="1" x14ac:dyDescent="0.2">
      <c r="A5" s="20"/>
      <c r="B5" s="20"/>
      <c r="C5" s="20"/>
      <c r="D5" s="20"/>
      <c r="E5" s="20"/>
      <c r="F5" s="20"/>
      <c r="G5" s="20"/>
      <c r="H5" s="20"/>
      <c r="I5" s="20"/>
      <c r="J5" s="20"/>
      <c r="K5" s="20"/>
      <c r="L5" s="20"/>
      <c r="M5" s="20"/>
      <c r="N5" s="20"/>
      <c r="O5" s="20"/>
      <c r="P5" s="20"/>
    </row>
    <row r="6" spans="1:16" ht="6.75" customHeight="1" x14ac:dyDescent="0.2">
      <c r="A6" s="14"/>
      <c r="B6" s="236"/>
      <c r="C6" s="14"/>
      <c r="D6" s="14"/>
      <c r="E6" s="14"/>
      <c r="F6" s="14"/>
      <c r="G6" s="14"/>
      <c r="H6" s="14"/>
      <c r="I6" s="14"/>
      <c r="J6" s="14"/>
      <c r="K6" s="14"/>
      <c r="L6" s="14"/>
      <c r="M6" s="14"/>
      <c r="N6" s="14"/>
      <c r="O6" s="14"/>
      <c r="P6" s="14"/>
    </row>
    <row r="7" spans="1:16" ht="12.75" customHeight="1" x14ac:dyDescent="0.3">
      <c r="A7" s="237"/>
      <c r="B7" s="316"/>
      <c r="C7" s="316"/>
      <c r="D7" s="316"/>
      <c r="E7" s="316"/>
      <c r="F7" s="316"/>
      <c r="G7" s="316"/>
      <c r="H7" s="316"/>
      <c r="I7" s="316"/>
      <c r="J7" s="316"/>
      <c r="K7" s="316"/>
      <c r="L7" s="316"/>
      <c r="M7" s="316"/>
      <c r="N7" s="238"/>
      <c r="O7" s="238"/>
      <c r="P7" s="239"/>
    </row>
    <row r="8" spans="1:16" ht="12.75" customHeight="1" x14ac:dyDescent="0.3">
      <c r="A8" s="237"/>
      <c r="B8" s="316"/>
      <c r="C8" s="316"/>
      <c r="D8" s="316"/>
      <c r="E8" s="316"/>
      <c r="F8" s="316"/>
      <c r="G8" s="316"/>
      <c r="H8" s="316"/>
      <c r="I8" s="316"/>
      <c r="J8" s="316"/>
      <c r="K8" s="316"/>
      <c r="L8" s="316"/>
      <c r="M8" s="316"/>
      <c r="N8" s="238"/>
      <c r="O8" s="238"/>
      <c r="P8" s="240"/>
    </row>
    <row r="9" spans="1:16" ht="12.75" customHeight="1" x14ac:dyDescent="0.2">
      <c r="A9" s="237"/>
      <c r="B9" s="241"/>
      <c r="C9" s="313"/>
      <c r="D9" s="313"/>
      <c r="E9" s="313"/>
      <c r="F9" s="313"/>
      <c r="G9" s="313"/>
      <c r="H9" s="313"/>
      <c r="I9" s="313"/>
      <c r="J9" s="313"/>
      <c r="K9" s="313"/>
      <c r="L9" s="313"/>
      <c r="M9" s="313"/>
      <c r="N9" s="242"/>
      <c r="O9" s="242"/>
      <c r="P9" s="243"/>
    </row>
    <row r="10" spans="1:16" ht="12.75" customHeight="1" x14ac:dyDescent="0.2">
      <c r="A10" s="237"/>
      <c r="B10" s="241"/>
      <c r="C10" s="313"/>
      <c r="D10" s="313"/>
      <c r="E10" s="313"/>
      <c r="F10" s="313"/>
      <c r="G10" s="313"/>
      <c r="H10" s="313"/>
      <c r="I10" s="313"/>
      <c r="J10" s="313"/>
      <c r="K10" s="313"/>
      <c r="L10" s="313"/>
      <c r="M10" s="313"/>
      <c r="N10" s="242"/>
      <c r="O10" s="242"/>
      <c r="P10" s="243"/>
    </row>
    <row r="11" spans="1:16" ht="12.75" customHeight="1" x14ac:dyDescent="0.2">
      <c r="A11" s="237"/>
      <c r="B11" s="241"/>
      <c r="C11" s="313"/>
      <c r="D11" s="313"/>
      <c r="E11" s="313"/>
      <c r="F11" s="313"/>
      <c r="G11" s="313"/>
      <c r="H11" s="313"/>
      <c r="I11" s="313"/>
      <c r="J11" s="313"/>
      <c r="K11" s="313"/>
      <c r="L11" s="313"/>
      <c r="M11" s="313"/>
      <c r="N11" s="242"/>
      <c r="O11" s="242"/>
      <c r="P11" s="243"/>
    </row>
    <row r="12" spans="1:16" ht="12.75" customHeight="1" x14ac:dyDescent="0.2">
      <c r="A12" s="237"/>
      <c r="B12" s="241"/>
      <c r="C12" s="313"/>
      <c r="D12" s="313"/>
      <c r="E12" s="313"/>
      <c r="F12" s="313"/>
      <c r="G12" s="313"/>
      <c r="H12" s="313"/>
      <c r="I12" s="313"/>
      <c r="J12" s="313"/>
      <c r="K12" s="313"/>
      <c r="L12" s="313"/>
      <c r="M12" s="313"/>
      <c r="N12" s="242"/>
      <c r="O12" s="242"/>
      <c r="P12" s="243"/>
    </row>
    <row r="13" spans="1:16" ht="12.75" customHeight="1" x14ac:dyDescent="0.2">
      <c r="A13" s="237"/>
      <c r="B13" s="241"/>
      <c r="C13" s="313"/>
      <c r="D13" s="313"/>
      <c r="E13" s="313"/>
      <c r="F13" s="313"/>
      <c r="G13" s="313"/>
      <c r="H13" s="313"/>
      <c r="I13" s="313"/>
      <c r="J13" s="313"/>
      <c r="K13" s="313"/>
      <c r="L13" s="313"/>
      <c r="M13" s="313"/>
      <c r="N13" s="242"/>
      <c r="O13" s="242"/>
      <c r="P13" s="243"/>
    </row>
    <row r="14" spans="1:16" ht="12.75" customHeight="1" x14ac:dyDescent="0.2">
      <c r="A14" s="237"/>
      <c r="B14" s="241"/>
      <c r="C14" s="317"/>
      <c r="D14" s="317"/>
      <c r="E14" s="317"/>
      <c r="F14" s="317"/>
      <c r="G14" s="317"/>
      <c r="H14" s="317"/>
      <c r="I14" s="317"/>
      <c r="J14" s="317"/>
      <c r="K14" s="317"/>
      <c r="L14" s="317"/>
      <c r="M14" s="317"/>
      <c r="N14" s="244"/>
      <c r="O14" s="244"/>
      <c r="P14" s="240"/>
    </row>
    <row r="15" spans="1:16" ht="9.75" customHeight="1" x14ac:dyDescent="0.35">
      <c r="A15" s="237"/>
      <c r="B15" s="245"/>
      <c r="C15" s="237"/>
      <c r="D15" s="237"/>
      <c r="E15" s="237"/>
      <c r="F15" s="237"/>
      <c r="G15" s="237"/>
      <c r="H15" s="237"/>
      <c r="I15" s="237"/>
      <c r="J15" s="237"/>
      <c r="K15" s="246"/>
      <c r="L15" s="246"/>
      <c r="M15" s="237"/>
      <c r="N15" s="237"/>
      <c r="O15" s="237"/>
      <c r="P15" s="237"/>
    </row>
    <row r="16" spans="1:16" ht="17.399999999999999" x14ac:dyDescent="0.3">
      <c r="A16" s="237"/>
      <c r="B16" s="318"/>
      <c r="C16" s="318"/>
      <c r="D16" s="318"/>
      <c r="E16" s="318"/>
      <c r="F16" s="318"/>
      <c r="G16" s="318"/>
      <c r="H16" s="318"/>
      <c r="I16" s="318"/>
      <c r="J16" s="318"/>
      <c r="K16" s="237"/>
      <c r="L16" s="247"/>
      <c r="M16" s="237"/>
      <c r="N16" s="237"/>
      <c r="O16" s="237"/>
      <c r="P16" s="247"/>
    </row>
    <row r="17" spans="1:16" ht="12.75" customHeight="1" x14ac:dyDescent="0.2">
      <c r="A17" s="237"/>
      <c r="B17" s="241"/>
      <c r="C17" s="317"/>
      <c r="D17" s="317"/>
      <c r="E17" s="317"/>
      <c r="F17" s="317"/>
      <c r="G17" s="244"/>
      <c r="H17" s="319"/>
      <c r="I17" s="319"/>
      <c r="J17" s="239"/>
      <c r="K17" s="237"/>
      <c r="L17" s="320"/>
      <c r="M17" s="321"/>
      <c r="N17" s="321"/>
      <c r="O17" s="321"/>
      <c r="P17" s="321"/>
    </row>
    <row r="18" spans="1:16" ht="12.75" customHeight="1" x14ac:dyDescent="0.2">
      <c r="A18" s="237"/>
      <c r="B18" s="241"/>
      <c r="C18" s="313"/>
      <c r="D18" s="313"/>
      <c r="E18" s="313"/>
      <c r="F18" s="313"/>
      <c r="G18" s="242"/>
      <c r="H18" s="320"/>
      <c r="I18" s="320"/>
      <c r="J18" s="239"/>
      <c r="K18" s="237"/>
      <c r="L18" s="320"/>
      <c r="M18" s="321"/>
      <c r="N18" s="321"/>
      <c r="O18" s="321"/>
      <c r="P18" s="321"/>
    </row>
    <row r="19" spans="1:16" ht="12.75" customHeight="1" x14ac:dyDescent="0.2">
      <c r="A19" s="237"/>
      <c r="B19" s="241"/>
      <c r="C19" s="317"/>
      <c r="D19" s="317"/>
      <c r="E19" s="317"/>
      <c r="F19" s="317"/>
      <c r="G19" s="244"/>
      <c r="H19" s="322"/>
      <c r="I19" s="322"/>
      <c r="J19" s="248"/>
      <c r="K19" s="249"/>
      <c r="L19" s="322"/>
      <c r="M19" s="323"/>
      <c r="N19" s="323"/>
      <c r="O19" s="323"/>
      <c r="P19" s="323"/>
    </row>
    <row r="20" spans="1:16" ht="12.75" customHeight="1" x14ac:dyDescent="0.2">
      <c r="A20" s="237"/>
      <c r="B20" s="241"/>
      <c r="C20" s="317"/>
      <c r="D20" s="317"/>
      <c r="E20" s="317"/>
      <c r="F20" s="317"/>
      <c r="G20" s="244"/>
      <c r="H20" s="322"/>
      <c r="I20" s="322"/>
      <c r="J20" s="248"/>
      <c r="K20" s="249"/>
      <c r="L20" s="322"/>
      <c r="M20" s="323"/>
      <c r="N20" s="323"/>
      <c r="O20" s="323"/>
      <c r="P20" s="323"/>
    </row>
    <row r="21" spans="1:16" ht="12" customHeight="1" x14ac:dyDescent="0.25">
      <c r="A21" s="237"/>
      <c r="B21" s="250"/>
      <c r="C21" s="239"/>
      <c r="D21" s="232"/>
      <c r="E21" s="251" t="s">
        <v>176</v>
      </c>
      <c r="F21" s="252"/>
      <c r="G21" s="252"/>
      <c r="H21" s="232"/>
      <c r="I21" s="253" t="s">
        <v>177</v>
      </c>
      <c r="J21" s="252"/>
      <c r="K21" s="252"/>
      <c r="L21" s="232"/>
      <c r="M21" s="252"/>
      <c r="N21" s="252"/>
      <c r="O21" s="253"/>
      <c r="P21" s="248"/>
    </row>
    <row r="22" spans="1:16" ht="34.35" customHeight="1" x14ac:dyDescent="0.2">
      <c r="A22" s="237"/>
      <c r="B22" s="241"/>
      <c r="C22" s="239"/>
      <c r="D22" s="232"/>
      <c r="E22" s="324" t="s">
        <v>183</v>
      </c>
      <c r="F22" s="324"/>
      <c r="G22" s="324"/>
      <c r="H22" s="232"/>
      <c r="I22" s="325" t="s">
        <v>178</v>
      </c>
      <c r="J22" s="325"/>
      <c r="K22" s="325"/>
      <c r="L22" s="325"/>
      <c r="M22" s="325"/>
      <c r="N22" s="254"/>
      <c r="O22" s="324"/>
      <c r="P22" s="324"/>
    </row>
    <row r="23" spans="1:16" ht="31.5" customHeight="1" x14ac:dyDescent="0.2">
      <c r="A23" s="237"/>
      <c r="B23" s="241"/>
      <c r="C23" s="239"/>
      <c r="D23" s="232"/>
      <c r="E23" s="324" t="s">
        <v>179</v>
      </c>
      <c r="F23" s="324"/>
      <c r="G23" s="324"/>
      <c r="H23" s="232"/>
      <c r="I23" s="325" t="s">
        <v>180</v>
      </c>
      <c r="J23" s="325"/>
      <c r="K23" s="325"/>
      <c r="L23" s="325"/>
      <c r="M23" s="325"/>
      <c r="N23" s="255"/>
      <c r="O23" s="324"/>
      <c r="P23" s="324"/>
    </row>
    <row r="24" spans="1:16" ht="42" customHeight="1" x14ac:dyDescent="0.2">
      <c r="A24" s="237"/>
      <c r="B24" s="241"/>
      <c r="C24" s="239"/>
      <c r="D24" s="232"/>
      <c r="E24" s="324" t="s">
        <v>184</v>
      </c>
      <c r="F24" s="324"/>
      <c r="G24" s="324"/>
      <c r="H24" s="232"/>
      <c r="I24" s="325"/>
      <c r="J24" s="325"/>
      <c r="K24" s="325"/>
      <c r="L24" s="325"/>
      <c r="M24" s="325"/>
      <c r="N24" s="255"/>
      <c r="O24" s="324"/>
      <c r="P24" s="324"/>
    </row>
    <row r="25" spans="1:16" ht="53.25" customHeight="1" x14ac:dyDescent="0.2">
      <c r="A25" s="237"/>
      <c r="B25" s="241"/>
      <c r="C25" s="239"/>
      <c r="D25" s="232"/>
      <c r="E25" s="324" t="s">
        <v>185</v>
      </c>
      <c r="F25" s="324"/>
      <c r="G25" s="324"/>
      <c r="H25" s="14"/>
      <c r="I25" s="239"/>
      <c r="J25" s="239"/>
      <c r="K25" s="239"/>
      <c r="L25" s="239"/>
      <c r="M25" s="239"/>
      <c r="N25" s="239"/>
      <c r="O25" s="239"/>
      <c r="P25" s="239"/>
    </row>
    <row r="26" spans="1:16" ht="12.75" customHeight="1" x14ac:dyDescent="0.2">
      <c r="A26" s="237"/>
      <c r="B26" s="237"/>
      <c r="C26" s="239"/>
      <c r="D26" s="239"/>
      <c r="E26" s="239"/>
      <c r="F26" s="239"/>
      <c r="G26" s="239"/>
      <c r="H26" s="239"/>
      <c r="I26" s="239"/>
      <c r="J26" s="239"/>
      <c r="K26" s="239"/>
      <c r="L26" s="239"/>
      <c r="M26" s="239"/>
      <c r="N26" s="239"/>
      <c r="O26" s="239"/>
      <c r="P26" s="239"/>
    </row>
    <row r="27" spans="1:16" ht="18.75" customHeight="1" x14ac:dyDescent="0.2">
      <c r="A27" s="237"/>
      <c r="B27" s="256"/>
      <c r="C27" s="239"/>
      <c r="D27" s="239"/>
      <c r="E27" s="239"/>
      <c r="F27" s="239"/>
      <c r="G27" s="239"/>
      <c r="H27" s="239"/>
      <c r="I27" s="239"/>
      <c r="J27" s="239"/>
      <c r="K27" s="239"/>
      <c r="L27" s="239"/>
      <c r="M27" s="239"/>
      <c r="N27" s="239"/>
      <c r="O27" s="239"/>
      <c r="P27" s="239"/>
    </row>
    <row r="28" spans="1:16" ht="6" customHeight="1" x14ac:dyDescent="0.2">
      <c r="A28" s="237"/>
      <c r="B28" s="257"/>
      <c r="C28" s="239"/>
      <c r="D28" s="239"/>
      <c r="E28" s="239"/>
      <c r="F28" s="239"/>
      <c r="G28" s="239"/>
      <c r="H28" s="239"/>
      <c r="I28" s="239"/>
      <c r="J28" s="239"/>
      <c r="K28" s="239"/>
      <c r="L28" s="239"/>
      <c r="M28" s="239"/>
      <c r="N28" s="239"/>
      <c r="O28" s="239"/>
      <c r="P28" s="239"/>
    </row>
    <row r="29" spans="1:16" ht="12.75" customHeight="1" x14ac:dyDescent="0.2">
      <c r="A29" s="237"/>
      <c r="B29" s="257"/>
      <c r="C29" s="239"/>
      <c r="D29" s="239"/>
      <c r="E29" s="239"/>
      <c r="F29" s="239"/>
      <c r="G29" s="239"/>
      <c r="H29" s="239"/>
      <c r="I29" s="239"/>
      <c r="J29" s="239"/>
      <c r="K29" s="239"/>
      <c r="L29" s="239"/>
      <c r="M29" s="239"/>
      <c r="N29" s="239"/>
      <c r="O29" s="239"/>
      <c r="P29" s="239"/>
    </row>
    <row r="30" spans="1:16" ht="15" customHeight="1" x14ac:dyDescent="0.2">
      <c r="A30" s="237"/>
      <c r="B30" s="244"/>
      <c r="C30" s="239"/>
      <c r="D30" s="239"/>
      <c r="E30" s="239"/>
      <c r="F30" s="239"/>
      <c r="G30" s="239"/>
      <c r="H30" s="239"/>
      <c r="I30" s="239"/>
      <c r="J30" s="239"/>
      <c r="K30" s="239"/>
      <c r="L30" s="239"/>
      <c r="M30" s="239"/>
      <c r="N30" s="239"/>
      <c r="O30" s="239"/>
      <c r="P30" s="239"/>
    </row>
    <row r="31" spans="1:16" ht="12.75" customHeight="1" x14ac:dyDescent="0.2">
      <c r="A31" s="237"/>
      <c r="B31" s="326"/>
      <c r="C31" s="326"/>
      <c r="D31" s="326"/>
      <c r="E31" s="326"/>
      <c r="F31" s="326"/>
      <c r="G31" s="258"/>
      <c r="H31" s="258"/>
      <c r="I31" s="327"/>
      <c r="J31" s="326"/>
      <c r="K31" s="237"/>
      <c r="L31" s="320"/>
      <c r="M31" s="328"/>
      <c r="N31" s="328"/>
      <c r="O31" s="328"/>
      <c r="P31" s="328"/>
    </row>
    <row r="32" spans="1:16" ht="15" customHeight="1" x14ac:dyDescent="0.2">
      <c r="A32" s="237"/>
      <c r="B32" s="326"/>
      <c r="C32" s="326"/>
      <c r="D32" s="326"/>
      <c r="E32" s="326"/>
      <c r="F32" s="326"/>
      <c r="G32" s="258"/>
      <c r="H32" s="258"/>
      <c r="I32" s="327"/>
      <c r="J32" s="326"/>
      <c r="K32" s="237"/>
      <c r="L32" s="320"/>
      <c r="M32" s="328"/>
      <c r="N32" s="328"/>
      <c r="O32" s="328"/>
      <c r="P32" s="328"/>
    </row>
    <row r="33" spans="1:16" ht="18.75" customHeight="1" x14ac:dyDescent="0.2">
      <c r="A33" s="237"/>
      <c r="B33" s="237"/>
      <c r="C33" s="237"/>
      <c r="D33" s="237"/>
      <c r="E33" s="237"/>
      <c r="F33" s="237"/>
      <c r="G33" s="237"/>
      <c r="H33" s="237"/>
      <c r="I33" s="237"/>
      <c r="J33" s="237"/>
      <c r="K33" s="237"/>
      <c r="L33" s="237"/>
      <c r="M33" s="237"/>
      <c r="N33" s="237"/>
      <c r="O33" s="237"/>
      <c r="P33" s="237"/>
    </row>
    <row r="34" spans="1:16" ht="12.75" customHeight="1" x14ac:dyDescent="0.2">
      <c r="A34" s="14"/>
      <c r="B34" s="14"/>
      <c r="C34" s="14"/>
      <c r="D34" s="14"/>
      <c r="E34" s="14"/>
      <c r="F34" s="14"/>
      <c r="G34" s="14"/>
      <c r="H34" s="14"/>
      <c r="I34" s="14"/>
      <c r="J34" s="14"/>
      <c r="K34" s="14"/>
      <c r="L34" s="14"/>
      <c r="M34" s="14"/>
      <c r="N34" s="14"/>
      <c r="O34" s="14"/>
      <c r="P34" s="14"/>
    </row>
    <row r="35" spans="1:16" ht="12.75" customHeight="1" x14ac:dyDescent="0.2">
      <c r="A35" s="14"/>
      <c r="B35" s="14"/>
      <c r="C35" s="14"/>
      <c r="D35" s="14"/>
      <c r="E35" s="14"/>
      <c r="F35" s="14"/>
      <c r="G35" s="14"/>
      <c r="H35" s="14"/>
      <c r="I35" s="14"/>
      <c r="J35" s="14"/>
      <c r="K35" s="14"/>
      <c r="L35" s="14"/>
      <c r="M35" s="14"/>
      <c r="N35" s="14"/>
      <c r="O35" s="14"/>
      <c r="P35" s="14"/>
    </row>
    <row r="36" spans="1:16" ht="12.75" customHeight="1" x14ac:dyDescent="0.2">
      <c r="A36" s="14"/>
      <c r="B36" s="14"/>
      <c r="C36" s="14"/>
      <c r="D36" s="14"/>
      <c r="E36" s="14"/>
      <c r="F36" s="14"/>
      <c r="G36" s="14"/>
      <c r="H36" s="14"/>
      <c r="I36" s="14"/>
      <c r="J36" s="14"/>
      <c r="K36" s="14"/>
      <c r="L36" s="14"/>
      <c r="M36" s="14"/>
      <c r="N36" s="14"/>
      <c r="O36" s="14"/>
      <c r="P36" s="14"/>
    </row>
    <row r="37" spans="1:16" ht="12.75" customHeight="1" x14ac:dyDescent="0.2">
      <c r="A37" s="14"/>
      <c r="B37" s="14"/>
      <c r="C37" s="14"/>
      <c r="D37" s="14"/>
      <c r="E37" s="14"/>
      <c r="F37" s="14"/>
      <c r="G37" s="14"/>
      <c r="H37" s="14"/>
      <c r="I37" s="14"/>
      <c r="J37" s="14"/>
      <c r="K37" s="14"/>
      <c r="L37" s="14"/>
      <c r="M37" s="14"/>
      <c r="N37" s="14"/>
      <c r="O37" s="14"/>
      <c r="P37" s="14"/>
    </row>
    <row r="38" spans="1:16" ht="12.75" customHeight="1" x14ac:dyDescent="0.2">
      <c r="A38" s="14"/>
      <c r="B38" s="14"/>
      <c r="C38" s="14"/>
      <c r="D38" s="14"/>
      <c r="E38" s="14"/>
      <c r="F38" s="14"/>
      <c r="G38" s="14"/>
      <c r="H38" s="14"/>
      <c r="I38" s="14"/>
      <c r="J38" s="14"/>
      <c r="K38" s="14"/>
      <c r="L38" s="14"/>
      <c r="M38" s="14"/>
      <c r="N38" s="14"/>
      <c r="O38" s="14"/>
      <c r="P38" s="14"/>
    </row>
  </sheetData>
  <mergeCells count="37">
    <mergeCell ref="E24:G24"/>
    <mergeCell ref="I24:M24"/>
    <mergeCell ref="O24:P24"/>
    <mergeCell ref="E25:G25"/>
    <mergeCell ref="B31:F32"/>
    <mergeCell ref="I31:I32"/>
    <mergeCell ref="J31:J32"/>
    <mergeCell ref="L31:L32"/>
    <mergeCell ref="M31:P32"/>
    <mergeCell ref="E22:G22"/>
    <mergeCell ref="I22:M22"/>
    <mergeCell ref="O22:P22"/>
    <mergeCell ref="E23:G23"/>
    <mergeCell ref="I23:M23"/>
    <mergeCell ref="O23:P23"/>
    <mergeCell ref="C19:F19"/>
    <mergeCell ref="H19:I19"/>
    <mergeCell ref="L19:L20"/>
    <mergeCell ref="M19:P20"/>
    <mergeCell ref="C20:F20"/>
    <mergeCell ref="H20:I20"/>
    <mergeCell ref="C12:M12"/>
    <mergeCell ref="C13:M13"/>
    <mergeCell ref="C14:M14"/>
    <mergeCell ref="B16:J16"/>
    <mergeCell ref="C17:F17"/>
    <mergeCell ref="H17:I17"/>
    <mergeCell ref="L17:L18"/>
    <mergeCell ref="M17:P18"/>
    <mergeCell ref="C18:F18"/>
    <mergeCell ref="H18:I18"/>
    <mergeCell ref="C11:M11"/>
    <mergeCell ref="B2:G3"/>
    <mergeCell ref="I2:N3"/>
    <mergeCell ref="B7:M8"/>
    <mergeCell ref="C9:M9"/>
    <mergeCell ref="C10:M10"/>
  </mergeCells>
  <conditionalFormatting sqref="K15:L15">
    <cfRule type="iconSet" priority="1">
      <iconSet iconSet="3Symbols2">
        <cfvo type="percent" val="0"/>
        <cfvo type="percent" val="33"/>
        <cfvo type="percent" val="67"/>
      </iconSet>
    </cfRule>
  </conditionalFormatting>
  <dataValidations count="1">
    <dataValidation type="list" allowBlank="1" showInputMessage="1" showErrorMessage="1" sqref="H18:H20">
      <formula1>#REF!</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zoomScale="120" zoomScaleNormal="120" workbookViewId="0">
      <selection activeCell="C8" sqref="C8:N8"/>
    </sheetView>
  </sheetViews>
  <sheetFormatPr defaultColWidth="10.44140625" defaultRowHeight="12.75" customHeight="1" x14ac:dyDescent="0.2"/>
  <cols>
    <col min="1" max="1" width="7.44140625" style="51" customWidth="1"/>
    <col min="2" max="2" width="3.44140625" style="51" customWidth="1"/>
    <col min="3" max="3" width="8.44140625" style="51" customWidth="1"/>
    <col min="4" max="4" width="10.44140625" style="51" customWidth="1"/>
    <col min="5" max="5" width="7.5546875" style="51" customWidth="1"/>
    <col min="6" max="6" width="12.5546875" style="51" customWidth="1"/>
    <col min="7" max="7" width="14" style="51" customWidth="1"/>
    <col min="8" max="8" width="6" style="51" customWidth="1"/>
    <col min="9" max="9" width="6.88671875" style="51" customWidth="1"/>
    <col min="10" max="10" width="12.109375" style="51" customWidth="1"/>
    <col min="11" max="11" width="10.44140625" style="51"/>
    <col min="12" max="12" width="12.88671875" style="51" customWidth="1"/>
    <col min="13" max="13" width="11.109375" style="51" customWidth="1"/>
    <col min="14" max="14" width="12.5546875" style="51" customWidth="1"/>
    <col min="15" max="16384" width="10.44140625" style="51"/>
  </cols>
  <sheetData>
    <row r="1" spans="1:15" ht="12" customHeight="1" x14ac:dyDescent="0.25">
      <c r="A1" s="259"/>
      <c r="B1" s="231"/>
      <c r="C1" s="231"/>
      <c r="D1" s="231"/>
      <c r="E1" s="231"/>
      <c r="F1" s="231"/>
      <c r="G1" s="231"/>
      <c r="H1" s="260"/>
      <c r="I1" s="260"/>
      <c r="J1" s="12"/>
      <c r="K1" s="12"/>
      <c r="L1" s="12"/>
      <c r="M1" s="232"/>
      <c r="N1" s="10"/>
      <c r="O1" s="12"/>
    </row>
    <row r="2" spans="1:15" ht="12" customHeight="1" x14ac:dyDescent="0.2">
      <c r="A2" s="232"/>
      <c r="B2" s="314" t="str">
        <f>Forside!B2</f>
        <v>Standardløsning for klimaskærm</v>
      </c>
      <c r="C2" s="314"/>
      <c r="D2" s="314"/>
      <c r="E2" s="314"/>
      <c r="F2" s="314"/>
      <c r="G2" s="314"/>
      <c r="H2" s="260"/>
      <c r="I2" s="315"/>
      <c r="J2" s="315"/>
      <c r="K2" s="315"/>
      <c r="L2" s="315"/>
      <c r="M2" s="315"/>
      <c r="N2" s="261"/>
      <c r="O2" s="11"/>
    </row>
    <row r="3" spans="1:15" ht="33.75" customHeight="1" x14ac:dyDescent="0.3">
      <c r="A3" s="262"/>
      <c r="B3" s="314"/>
      <c r="C3" s="314"/>
      <c r="D3" s="314"/>
      <c r="E3" s="314"/>
      <c r="F3" s="314"/>
      <c r="G3" s="314"/>
      <c r="H3" s="232"/>
      <c r="I3" s="315"/>
      <c r="J3" s="315"/>
      <c r="K3" s="315"/>
      <c r="L3" s="315"/>
      <c r="M3" s="315"/>
      <c r="N3" s="11"/>
      <c r="O3" s="11"/>
    </row>
    <row r="4" spans="1:15" ht="10.35" customHeight="1" x14ac:dyDescent="0.3">
      <c r="A4" s="262"/>
      <c r="B4" s="263"/>
      <c r="C4" s="263"/>
      <c r="D4" s="263"/>
      <c r="E4" s="263"/>
      <c r="F4" s="263"/>
      <c r="G4" s="263"/>
      <c r="H4" s="232"/>
      <c r="I4" s="264"/>
      <c r="J4" s="264"/>
      <c r="K4" s="264"/>
      <c r="L4" s="264"/>
      <c r="M4" s="264"/>
      <c r="N4" s="11"/>
      <c r="O4" s="19" t="str">
        <f>Forside!P4</f>
        <v>Vers. 1  01.02.2023</v>
      </c>
    </row>
    <row r="5" spans="1:15" ht="11.4" x14ac:dyDescent="0.2">
      <c r="A5" s="265"/>
      <c r="B5" s="265"/>
      <c r="C5" s="265"/>
      <c r="D5" s="265"/>
      <c r="E5" s="265"/>
      <c r="F5" s="265"/>
      <c r="G5" s="265"/>
      <c r="H5" s="265"/>
      <c r="I5" s="265"/>
      <c r="J5" s="265"/>
      <c r="K5" s="265"/>
      <c r="L5" s="265"/>
      <c r="M5" s="265"/>
      <c r="N5" s="265"/>
      <c r="O5" s="265"/>
    </row>
    <row r="6" spans="1:15" ht="11.4" x14ac:dyDescent="0.2">
      <c r="A6" s="232"/>
      <c r="B6" s="232"/>
      <c r="C6" s="232"/>
      <c r="D6" s="232"/>
      <c r="E6" s="232"/>
      <c r="F6" s="232"/>
      <c r="G6" s="232"/>
      <c r="H6" s="232"/>
      <c r="I6" s="232"/>
      <c r="J6" s="232"/>
      <c r="K6" s="232"/>
      <c r="L6" s="232"/>
      <c r="M6" s="232"/>
      <c r="N6" s="232"/>
      <c r="O6" s="232"/>
    </row>
    <row r="7" spans="1:15" s="270" customFormat="1" ht="13.8" x14ac:dyDescent="0.3">
      <c r="A7" s="266"/>
      <c r="B7" s="266"/>
      <c r="C7" s="267"/>
      <c r="D7" s="268"/>
      <c r="E7" s="268"/>
      <c r="F7" s="268"/>
      <c r="G7" s="268"/>
      <c r="H7" s="268"/>
      <c r="I7" s="268"/>
      <c r="J7" s="269"/>
      <c r="K7" s="268"/>
      <c r="L7" s="268"/>
      <c r="M7" s="268"/>
      <c r="N7" s="268"/>
      <c r="O7" s="268"/>
    </row>
    <row r="8" spans="1:15" s="270" customFormat="1" ht="189.75" customHeight="1" x14ac:dyDescent="0.3">
      <c r="A8" s="266"/>
      <c r="B8" s="272"/>
      <c r="C8" s="332" t="s">
        <v>194</v>
      </c>
      <c r="D8" s="332"/>
      <c r="E8" s="332"/>
      <c r="F8" s="332"/>
      <c r="G8" s="332"/>
      <c r="H8" s="332"/>
      <c r="I8" s="332"/>
      <c r="J8" s="332"/>
      <c r="K8" s="332"/>
      <c r="L8" s="332"/>
      <c r="M8" s="332"/>
      <c r="N8" s="332"/>
      <c r="O8" s="268"/>
    </row>
    <row r="9" spans="1:15" ht="11.4" x14ac:dyDescent="0.2">
      <c r="A9" s="271"/>
      <c r="B9" s="331"/>
      <c r="C9" s="331"/>
      <c r="D9" s="331"/>
      <c r="E9" s="331"/>
      <c r="F9" s="331"/>
      <c r="G9" s="331"/>
      <c r="H9" s="331"/>
      <c r="I9" s="331"/>
      <c r="J9" s="331"/>
      <c r="K9" s="331"/>
      <c r="L9" s="331"/>
      <c r="M9" s="331"/>
      <c r="N9" s="331"/>
      <c r="O9" s="232"/>
    </row>
    <row r="10" spans="1:15" ht="15" customHeight="1" x14ac:dyDescent="0.2">
      <c r="A10" s="271"/>
      <c r="B10" s="331"/>
      <c r="C10" s="331"/>
      <c r="D10" s="331"/>
      <c r="E10" s="331"/>
      <c r="F10" s="331"/>
      <c r="G10" s="331"/>
      <c r="H10" s="331"/>
      <c r="I10" s="331"/>
      <c r="J10" s="331"/>
      <c r="K10" s="331"/>
      <c r="L10" s="331"/>
      <c r="M10" s="331"/>
      <c r="N10" s="331"/>
      <c r="O10" s="232"/>
    </row>
    <row r="11" spans="1:15" ht="15" customHeight="1" x14ac:dyDescent="0.2">
      <c r="A11" s="271"/>
      <c r="B11" s="331"/>
      <c r="C11" s="331"/>
      <c r="D11" s="331"/>
      <c r="E11" s="331"/>
      <c r="F11" s="331"/>
      <c r="G11" s="331"/>
      <c r="H11" s="331"/>
      <c r="I11" s="331"/>
      <c r="J11" s="331"/>
      <c r="K11" s="331"/>
      <c r="L11" s="331"/>
      <c r="M11" s="331"/>
      <c r="N11" s="331"/>
      <c r="O11" s="232"/>
    </row>
    <row r="12" spans="1:15" ht="18" x14ac:dyDescent="0.35">
      <c r="A12" s="271"/>
      <c r="B12" s="273"/>
      <c r="C12" s="273"/>
      <c r="D12" s="274"/>
      <c r="E12" s="274"/>
      <c r="F12" s="274"/>
      <c r="G12" s="232"/>
      <c r="H12" s="232"/>
      <c r="I12" s="232"/>
      <c r="J12" s="232"/>
      <c r="K12" s="232"/>
      <c r="L12" s="232"/>
      <c r="M12" s="232"/>
      <c r="N12" s="232"/>
      <c r="O12" s="232"/>
    </row>
    <row r="13" spans="1:15" ht="11.25" customHeight="1" x14ac:dyDescent="0.2">
      <c r="A13" s="271"/>
      <c r="B13" s="271"/>
      <c r="C13" s="329"/>
      <c r="D13" s="329"/>
      <c r="E13" s="329"/>
      <c r="F13" s="329"/>
      <c r="G13" s="329"/>
      <c r="H13" s="329"/>
      <c r="I13" s="329"/>
      <c r="J13" s="329"/>
      <c r="K13" s="329"/>
      <c r="L13" s="329"/>
      <c r="M13" s="329"/>
      <c r="N13" s="329"/>
      <c r="O13" s="232"/>
    </row>
    <row r="14" spans="1:15" ht="18" x14ac:dyDescent="0.35">
      <c r="A14" s="271"/>
      <c r="B14" s="275"/>
      <c r="C14" s="273"/>
      <c r="D14" s="274"/>
      <c r="E14" s="274"/>
      <c r="F14" s="274"/>
      <c r="G14" s="232"/>
      <c r="H14" s="232"/>
      <c r="I14" s="232"/>
      <c r="J14" s="232"/>
      <c r="K14" s="232"/>
      <c r="L14" s="232"/>
      <c r="M14" s="232"/>
      <c r="N14" s="232"/>
      <c r="O14" s="232"/>
    </row>
    <row r="15" spans="1:15" ht="16.5" customHeight="1" x14ac:dyDescent="0.3">
      <c r="A15" s="271"/>
      <c r="B15" s="276"/>
      <c r="C15" s="329"/>
      <c r="D15" s="329"/>
      <c r="E15" s="329"/>
      <c r="F15" s="329"/>
      <c r="G15" s="329"/>
      <c r="H15" s="329"/>
      <c r="I15" s="329"/>
      <c r="J15" s="329"/>
      <c r="K15" s="329"/>
      <c r="L15" s="329"/>
      <c r="M15" s="329"/>
      <c r="N15" s="329"/>
      <c r="O15" s="232"/>
    </row>
    <row r="16" spans="1:15" ht="42.75" customHeight="1" x14ac:dyDescent="0.35">
      <c r="A16" s="271"/>
      <c r="B16" s="277"/>
      <c r="C16" s="278"/>
      <c r="D16" s="232"/>
      <c r="E16" s="232"/>
      <c r="F16" s="232"/>
      <c r="G16" s="232"/>
      <c r="H16" s="232"/>
      <c r="I16" s="232"/>
      <c r="J16" s="232"/>
      <c r="K16" s="232"/>
      <c r="L16" s="232"/>
      <c r="M16" s="232"/>
      <c r="N16" s="232"/>
      <c r="O16" s="232"/>
    </row>
    <row r="17" spans="1:15" ht="154.5" customHeight="1" x14ac:dyDescent="0.3">
      <c r="A17" s="279"/>
      <c r="B17" s="280"/>
      <c r="C17" s="330"/>
      <c r="D17" s="330"/>
      <c r="E17" s="330"/>
      <c r="F17" s="330"/>
      <c r="G17" s="330"/>
      <c r="H17" s="330"/>
      <c r="I17" s="330"/>
      <c r="J17" s="330"/>
      <c r="K17" s="330"/>
      <c r="L17" s="330"/>
      <c r="M17" s="330"/>
      <c r="N17" s="330"/>
      <c r="O17" s="281"/>
    </row>
    <row r="18" spans="1:15" ht="12.75" customHeight="1" x14ac:dyDescent="0.2">
      <c r="A18" s="279"/>
      <c r="B18" s="279"/>
      <c r="C18" s="279"/>
      <c r="D18" s="279"/>
      <c r="E18" s="279"/>
      <c r="F18" s="279"/>
      <c r="G18" s="279"/>
      <c r="H18" s="279"/>
      <c r="I18" s="279"/>
      <c r="J18" s="279"/>
      <c r="K18" s="279"/>
      <c r="L18" s="279"/>
      <c r="M18" s="279"/>
      <c r="N18" s="279"/>
      <c r="O18" s="281"/>
    </row>
    <row r="19" spans="1:15" ht="11.4" x14ac:dyDescent="0.2">
      <c r="A19" s="279"/>
      <c r="B19" s="279"/>
      <c r="C19" s="279"/>
      <c r="D19" s="279"/>
      <c r="E19" s="279"/>
      <c r="F19" s="279"/>
      <c r="G19" s="279"/>
      <c r="H19" s="279"/>
      <c r="I19" s="279"/>
      <c r="J19" s="279"/>
      <c r="K19" s="279"/>
      <c r="L19" s="279"/>
      <c r="M19" s="279"/>
      <c r="N19" s="279"/>
      <c r="O19" s="281"/>
    </row>
    <row r="20" spans="1:15" ht="12.75" customHeight="1" x14ac:dyDescent="0.2">
      <c r="A20" s="279"/>
      <c r="B20" s="279"/>
      <c r="C20" s="279"/>
      <c r="D20" s="279"/>
      <c r="E20" s="279"/>
      <c r="F20" s="279"/>
      <c r="G20" s="279"/>
      <c r="H20" s="279"/>
      <c r="I20" s="279"/>
      <c r="J20" s="279"/>
      <c r="K20" s="279"/>
      <c r="L20" s="279"/>
      <c r="M20" s="279"/>
      <c r="N20" s="279"/>
      <c r="O20" s="281"/>
    </row>
    <row r="21" spans="1:15" ht="12.75" customHeight="1" x14ac:dyDescent="0.2">
      <c r="A21" s="279"/>
      <c r="B21" s="279"/>
      <c r="C21" s="279"/>
      <c r="D21" s="279"/>
      <c r="E21" s="279"/>
      <c r="F21" s="279"/>
      <c r="G21" s="279"/>
      <c r="H21" s="279"/>
      <c r="I21" s="279"/>
      <c r="J21" s="279"/>
      <c r="K21" s="279"/>
      <c r="L21" s="279"/>
      <c r="M21" s="279"/>
      <c r="N21" s="279"/>
      <c r="O21" s="281"/>
    </row>
    <row r="22" spans="1:15" ht="12.75" customHeight="1" x14ac:dyDescent="0.3">
      <c r="A22" s="279"/>
      <c r="B22" s="282"/>
      <c r="C22" s="283"/>
      <c r="D22" s="281"/>
      <c r="E22" s="281"/>
      <c r="F22" s="281"/>
      <c r="G22" s="281"/>
      <c r="H22" s="281"/>
      <c r="I22" s="281"/>
      <c r="J22" s="281"/>
      <c r="K22" s="281"/>
      <c r="L22" s="281"/>
      <c r="M22" s="281"/>
      <c r="N22" s="281"/>
      <c r="O22" s="281"/>
    </row>
    <row r="23" spans="1:15" ht="11.4" x14ac:dyDescent="0.2"/>
    <row r="28" spans="1:15" ht="11.4" x14ac:dyDescent="0.2"/>
  </sheetData>
  <sheetProtection algorithmName="SHA-512" hashValue="uNqXT2l5z0+311xdBrhyawZAXDiNyIfO5rulA/FNQ3pUYh9wOffNd6zMs7wr0MqaPT0A0cSldmKMQ0nLcVhcvQ==" saltValue="sRmQXgRh9yBGhKmYM+jZag==" spinCount="100000" sheet="1" objects="1" scenarios="1"/>
  <mergeCells count="7">
    <mergeCell ref="C15:N15"/>
    <mergeCell ref="C17:N17"/>
    <mergeCell ref="B9:N11"/>
    <mergeCell ref="B2:G3"/>
    <mergeCell ref="I2:M3"/>
    <mergeCell ref="C8:N8"/>
    <mergeCell ref="C13:N1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9"/>
  <sheetViews>
    <sheetView tabSelected="1" topLeftCell="A3" zoomScale="80" zoomScaleNormal="80" workbookViewId="0">
      <selection activeCell="N7" sqref="N7"/>
    </sheetView>
  </sheetViews>
  <sheetFormatPr defaultRowHeight="14.4" x14ac:dyDescent="0.3"/>
  <cols>
    <col min="3" max="3" width="32.5546875" bestFit="1" customWidth="1"/>
    <col min="4" max="4" width="28.5546875" customWidth="1"/>
    <col min="5" max="5" width="11.44140625" bestFit="1" customWidth="1"/>
    <col min="6" max="6" width="24.44140625" hidden="1" customWidth="1"/>
    <col min="7" max="7" width="8.5546875" hidden="1" customWidth="1"/>
    <col min="8" max="8" width="33" hidden="1" customWidth="1"/>
    <col min="9" max="9" width="10.33203125" hidden="1" customWidth="1"/>
    <col min="10" max="10" width="8.44140625" hidden="1" customWidth="1"/>
    <col min="11" max="11" width="11.88671875" hidden="1" customWidth="1"/>
    <col min="14" max="14" width="21.5546875" customWidth="1"/>
    <col min="15" max="15" width="22.6640625" bestFit="1" customWidth="1"/>
  </cols>
  <sheetData>
    <row r="1" spans="1:27" x14ac:dyDescent="0.3">
      <c r="A1" s="8"/>
      <c r="B1" s="335"/>
      <c r="C1" s="335"/>
      <c r="D1" s="336"/>
      <c r="E1" s="336"/>
      <c r="F1" s="336"/>
      <c r="G1" s="223"/>
      <c r="H1" s="9" t="s">
        <v>36</v>
      </c>
      <c r="I1" s="223"/>
      <c r="J1" s="74"/>
      <c r="K1" s="9"/>
      <c r="L1" s="11"/>
      <c r="M1" s="11"/>
      <c r="N1" s="11"/>
      <c r="O1" s="10"/>
      <c r="P1" s="12"/>
      <c r="Q1" s="13"/>
    </row>
    <row r="2" spans="1:27" x14ac:dyDescent="0.3">
      <c r="A2" s="14"/>
      <c r="B2" s="335"/>
      <c r="C2" s="335"/>
      <c r="D2" s="336"/>
      <c r="E2" s="336"/>
      <c r="F2" s="336"/>
      <c r="G2" s="223"/>
      <c r="H2" s="15" t="s">
        <v>19</v>
      </c>
      <c r="I2" s="223"/>
      <c r="J2" s="74"/>
      <c r="K2" s="15"/>
      <c r="L2" s="11"/>
      <c r="M2" s="11"/>
      <c r="N2" s="11"/>
      <c r="O2" s="11"/>
      <c r="P2" s="11"/>
      <c r="Q2" s="13"/>
    </row>
    <row r="3" spans="1:27" ht="17.399999999999999" x14ac:dyDescent="0.3">
      <c r="A3" s="16"/>
      <c r="B3" s="17" t="s">
        <v>20</v>
      </c>
      <c r="C3" s="18"/>
      <c r="D3" s="16" t="s">
        <v>173</v>
      </c>
      <c r="E3" s="14"/>
      <c r="F3" s="74"/>
      <c r="G3" s="17"/>
      <c r="H3" s="15" t="s">
        <v>21</v>
      </c>
      <c r="I3" s="14"/>
      <c r="J3" s="74"/>
      <c r="K3" s="15"/>
      <c r="L3" s="11"/>
      <c r="M3" s="11"/>
      <c r="N3" s="11"/>
      <c r="O3" s="11"/>
      <c r="P3" s="13"/>
      <c r="Q3" s="19" t="str">
        <f>Forside!P4</f>
        <v>Vers. 1  01.02.2023</v>
      </c>
    </row>
    <row r="4" spans="1:27" x14ac:dyDescent="0.3">
      <c r="A4" s="20"/>
      <c r="B4" s="20"/>
      <c r="C4" s="20"/>
      <c r="D4" s="20"/>
      <c r="E4" s="20"/>
      <c r="F4" s="20"/>
      <c r="G4" s="20"/>
      <c r="H4" s="20"/>
      <c r="I4" s="20"/>
      <c r="J4" s="20"/>
      <c r="K4" s="20"/>
      <c r="L4" s="20"/>
      <c r="M4" s="20"/>
      <c r="N4" s="20"/>
      <c r="O4" s="20"/>
      <c r="P4" s="20"/>
      <c r="Q4" s="20"/>
    </row>
    <row r="5" spans="1:27" x14ac:dyDescent="0.3">
      <c r="A5" s="14"/>
      <c r="B5" s="337" t="s">
        <v>22</v>
      </c>
      <c r="C5" s="337"/>
      <c r="D5" s="337"/>
      <c r="E5" s="337"/>
      <c r="F5" s="337"/>
      <c r="G5" s="337"/>
      <c r="H5" s="337"/>
      <c r="I5" s="337"/>
      <c r="J5" s="337"/>
      <c r="K5" s="337"/>
      <c r="L5" s="337"/>
      <c r="M5" s="14"/>
      <c r="N5" s="21"/>
      <c r="O5" s="14"/>
      <c r="P5" s="14"/>
      <c r="Q5" s="22"/>
    </row>
    <row r="6" spans="1:27" x14ac:dyDescent="0.3">
      <c r="A6" s="14"/>
      <c r="B6" s="337"/>
      <c r="C6" s="337"/>
      <c r="D6" s="337"/>
      <c r="E6" s="337"/>
      <c r="F6" s="337"/>
      <c r="G6" s="337"/>
      <c r="H6" s="337"/>
      <c r="I6" s="337"/>
      <c r="J6" s="337"/>
      <c r="K6" s="337"/>
      <c r="L6" s="337"/>
      <c r="M6" s="23"/>
      <c r="N6" s="24"/>
      <c r="O6" s="24"/>
      <c r="P6" s="14"/>
      <c r="Q6" s="22"/>
    </row>
    <row r="7" spans="1:27" x14ac:dyDescent="0.3">
      <c r="A7" s="14"/>
      <c r="B7" s="25" t="s">
        <v>23</v>
      </c>
      <c r="C7" s="334" t="s">
        <v>45</v>
      </c>
      <c r="D7" s="334"/>
      <c r="E7" s="334"/>
      <c r="F7" s="334"/>
      <c r="G7" s="334"/>
      <c r="H7" s="334"/>
      <c r="I7" s="334"/>
      <c r="J7" s="334"/>
      <c r="K7" s="334"/>
      <c r="L7" s="334"/>
      <c r="M7" s="26"/>
      <c r="N7" s="27"/>
      <c r="O7" s="28" t="s">
        <v>46</v>
      </c>
      <c r="P7" s="29">
        <f>IF(N7=O7,1,IF(N7="",0,-1))</f>
        <v>0</v>
      </c>
      <c r="Q7" s="22"/>
    </row>
    <row r="8" spans="1:27" x14ac:dyDescent="0.3">
      <c r="A8" s="14"/>
      <c r="B8" s="25" t="s">
        <v>23</v>
      </c>
      <c r="C8" s="230" t="s">
        <v>172</v>
      </c>
      <c r="D8" s="230"/>
      <c r="E8" s="230"/>
      <c r="F8" s="230"/>
      <c r="G8" s="230"/>
      <c r="H8" s="230"/>
      <c r="I8" s="230"/>
      <c r="J8" s="230"/>
      <c r="K8" s="230"/>
      <c r="L8" s="230"/>
      <c r="M8" s="26"/>
      <c r="N8" s="27"/>
      <c r="O8" s="28" t="s">
        <v>46</v>
      </c>
      <c r="P8" s="29">
        <f>IF(N8=O8,1,IF(N8="",0,-1))</f>
        <v>0</v>
      </c>
      <c r="Q8" s="22"/>
      <c r="AA8" s="138"/>
    </row>
    <row r="9" spans="1:27" x14ac:dyDescent="0.3">
      <c r="A9" s="14"/>
      <c r="B9" s="25" t="s">
        <v>23</v>
      </c>
      <c r="C9" s="334" t="s">
        <v>51</v>
      </c>
      <c r="D9" s="334"/>
      <c r="E9" s="334"/>
      <c r="F9" s="334"/>
      <c r="G9" s="334"/>
      <c r="H9" s="334"/>
      <c r="I9" s="334"/>
      <c r="J9" s="334"/>
      <c r="K9" s="334"/>
      <c r="L9" s="334"/>
      <c r="M9" s="26"/>
      <c r="N9" s="27"/>
      <c r="O9" s="28" t="s">
        <v>24</v>
      </c>
      <c r="P9" s="29">
        <f>IF(N9=O9,1,IF(N9="",0,-1))</f>
        <v>0</v>
      </c>
      <c r="Q9" s="22"/>
    </row>
    <row r="10" spans="1:27" ht="22.2" x14ac:dyDescent="0.3">
      <c r="A10" s="14"/>
      <c r="B10" s="30" t="str">
        <f>IF(E10=1,"Projektet er omfattet af standardløsningen",IF(E10=-1,"Projektet er ikke omfattet af standardløsningen","Besvar venligst spørgsmålene om afgrænsning"))</f>
        <v>Besvar venligst spørgsmålene om afgrænsning</v>
      </c>
      <c r="C10" s="21"/>
      <c r="D10" s="21"/>
      <c r="E10" s="31">
        <f>IF(AND(P7=1,P8=1,P9=1),1,IF(OR(P7=-1,P9=-1,P8=-1),-1,0))</f>
        <v>0</v>
      </c>
      <c r="F10" s="21"/>
      <c r="G10" s="21"/>
      <c r="H10" s="21"/>
      <c r="I10" s="74"/>
      <c r="J10" s="21"/>
      <c r="K10" s="21"/>
      <c r="L10" s="14"/>
      <c r="M10" s="14"/>
      <c r="N10" s="14"/>
      <c r="O10" s="14"/>
      <c r="P10" s="14"/>
      <c r="Q10" s="22"/>
      <c r="Y10" s="138"/>
    </row>
    <row r="11" spans="1:27" ht="22.2" x14ac:dyDescent="0.3">
      <c r="A11" s="14"/>
      <c r="B11" s="32"/>
      <c r="C11" s="21"/>
      <c r="D11" s="21"/>
      <c r="E11" s="21"/>
      <c r="F11" s="21"/>
      <c r="G11" s="21"/>
      <c r="H11" s="21"/>
      <c r="I11" s="33"/>
      <c r="J11" s="21"/>
      <c r="K11" s="21"/>
      <c r="L11" s="14"/>
      <c r="M11" s="14"/>
      <c r="N11" s="14"/>
      <c r="O11" s="14"/>
      <c r="P11" s="14"/>
      <c r="Q11" s="22"/>
    </row>
    <row r="12" spans="1:27" ht="18" thickBot="1" x14ac:dyDescent="0.35">
      <c r="A12" s="14"/>
      <c r="B12" s="333" t="s">
        <v>25</v>
      </c>
      <c r="C12" s="333"/>
      <c r="D12" s="333"/>
      <c r="E12" s="333"/>
      <c r="F12" s="333"/>
      <c r="G12" s="333"/>
      <c r="H12" s="333"/>
      <c r="I12" s="333"/>
      <c r="J12" s="333"/>
      <c r="K12" s="333"/>
      <c r="L12" s="34"/>
      <c r="M12" s="45" t="s">
        <v>34</v>
      </c>
      <c r="N12" s="46"/>
      <c r="O12" s="46"/>
      <c r="P12" s="46"/>
      <c r="Q12" s="74"/>
    </row>
    <row r="13" spans="1:27" ht="15" thickBot="1" x14ac:dyDescent="0.35">
      <c r="A13" s="237"/>
      <c r="B13" s="290" t="s">
        <v>189</v>
      </c>
      <c r="C13" s="290"/>
      <c r="D13" s="309"/>
      <c r="E13" s="293"/>
      <c r="F13" s="72"/>
      <c r="G13" s="68"/>
      <c r="H13" s="68"/>
      <c r="I13" s="68"/>
      <c r="J13" s="72"/>
      <c r="K13" s="62"/>
      <c r="L13" s="39"/>
      <c r="M13" s="310"/>
      <c r="N13" s="308"/>
      <c r="O13" s="308"/>
      <c r="P13" s="308"/>
      <c r="Q13" s="74"/>
    </row>
    <row r="14" spans="1:27" ht="6.9" customHeight="1" x14ac:dyDescent="0.3">
      <c r="A14" s="237"/>
      <c r="B14" s="307" t="s">
        <v>188</v>
      </c>
      <c r="C14" s="307" t="s">
        <v>188</v>
      </c>
      <c r="D14" s="307" t="s">
        <v>188</v>
      </c>
      <c r="E14" s="307" t="s">
        <v>188</v>
      </c>
      <c r="F14" s="72" t="s">
        <v>187</v>
      </c>
      <c r="G14" s="298">
        <v>3.5</v>
      </c>
      <c r="H14" s="68"/>
      <c r="I14" s="72"/>
      <c r="J14" s="68"/>
      <c r="K14" s="68"/>
      <c r="L14" s="292"/>
      <c r="M14" s="25"/>
      <c r="N14" s="338"/>
      <c r="O14" s="341"/>
      <c r="P14" s="291"/>
      <c r="Q14" s="74"/>
    </row>
    <row r="15" spans="1:27" hidden="1" x14ac:dyDescent="0.3">
      <c r="A15" s="14"/>
      <c r="B15" s="40"/>
      <c r="C15" s="64"/>
      <c r="D15" s="225"/>
      <c r="E15" s="68"/>
      <c r="F15" s="299" t="s">
        <v>48</v>
      </c>
      <c r="G15" s="300">
        <v>21</v>
      </c>
      <c r="H15" s="301"/>
      <c r="I15" s="301"/>
      <c r="J15" s="302"/>
      <c r="K15" s="302"/>
      <c r="L15" s="63"/>
      <c r="M15" s="22"/>
      <c r="N15" s="22"/>
      <c r="O15" s="22"/>
      <c r="P15" s="22"/>
      <c r="Q15" s="74"/>
    </row>
    <row r="16" spans="1:27" x14ac:dyDescent="0.3">
      <c r="A16" s="14"/>
      <c r="B16" s="334" t="s">
        <v>191</v>
      </c>
      <c r="C16" s="334"/>
      <c r="D16" s="38"/>
      <c r="E16" s="89"/>
      <c r="F16" s="301"/>
      <c r="G16" s="302"/>
      <c r="H16" s="302"/>
      <c r="I16" s="302"/>
      <c r="J16" s="302"/>
      <c r="K16" s="302"/>
      <c r="L16" s="39"/>
      <c r="M16" s="22"/>
      <c r="N16" s="22"/>
      <c r="O16" s="22"/>
      <c r="P16" s="22"/>
      <c r="Q16" s="74"/>
    </row>
    <row r="17" spans="1:17" x14ac:dyDescent="0.3">
      <c r="A17" s="14"/>
      <c r="B17" s="227"/>
      <c r="C17" s="339" t="s">
        <v>28</v>
      </c>
      <c r="D17" s="339"/>
      <c r="E17" s="294"/>
      <c r="F17" s="294"/>
      <c r="G17" s="295"/>
      <c r="H17" s="294" t="s">
        <v>29</v>
      </c>
      <c r="I17" s="294"/>
      <c r="J17" s="294"/>
      <c r="K17" s="294"/>
      <c r="L17" s="39"/>
      <c r="M17" s="74"/>
      <c r="N17" s="74"/>
      <c r="O17" s="74"/>
      <c r="P17" s="74"/>
      <c r="Q17" s="74"/>
    </row>
    <row r="18" spans="1:17" ht="16.2" x14ac:dyDescent="0.3">
      <c r="A18" s="14"/>
      <c r="B18" s="37"/>
      <c r="C18" s="289" t="s">
        <v>32</v>
      </c>
      <c r="D18" s="289" t="s">
        <v>163</v>
      </c>
      <c r="E18" s="284" t="s">
        <v>37</v>
      </c>
      <c r="F18" s="284" t="s">
        <v>92</v>
      </c>
      <c r="G18" s="301"/>
      <c r="H18" s="284" t="s">
        <v>32</v>
      </c>
      <c r="I18" s="284" t="s">
        <v>190</v>
      </c>
      <c r="J18" s="284" t="s">
        <v>37</v>
      </c>
      <c r="K18" s="284" t="s">
        <v>93</v>
      </c>
      <c r="L18" s="342"/>
      <c r="M18" s="74"/>
      <c r="N18" s="74"/>
      <c r="O18" s="74"/>
      <c r="P18" s="74"/>
      <c r="Q18" s="74"/>
    </row>
    <row r="19" spans="1:17" ht="18.600000000000001" customHeight="1" x14ac:dyDescent="0.3">
      <c r="A19" s="14"/>
      <c r="B19" s="25"/>
      <c r="C19" s="44"/>
      <c r="D19" s="90"/>
      <c r="E19" s="285" t="str">
        <f>IF(C19="","",INDEX(Data!$C$3:$M$12,MATCH(C19,Data!$B$3:$B$12,0),MATCH(Data!$D$17,Data!$C$2:$M$2,0)))</f>
        <v/>
      </c>
      <c r="F19" s="286" t="str">
        <f>IF(C19="","",D19*E19*($G$15-IF(C19=Data!$B$6,8.9,9.1))*Data!$H$29)</f>
        <v/>
      </c>
      <c r="G19" s="301"/>
      <c r="H19" s="303" t="str">
        <f t="shared" ref="H19:H28" si="0">IF(C19="","",C19)</f>
        <v/>
      </c>
      <c r="I19" s="304" t="str">
        <f t="shared" ref="I19:I28" si="1">IF(D19="","",D19)</f>
        <v/>
      </c>
      <c r="J19" s="285" t="str">
        <f>IF(C19="","",INDEX(Data!$C$3:$M$12,MATCH(H19,Data!$B$3:$B$12,0),11))</f>
        <v/>
      </c>
      <c r="K19" s="286" t="str">
        <f>IF(C19="","",I19*J19*($G$15-IF(C19=Data!$B$6,8.9,9.1))*Data!$H$29)</f>
        <v/>
      </c>
      <c r="L19" s="342"/>
      <c r="M19" s="74"/>
      <c r="N19" s="74"/>
      <c r="O19" s="74"/>
      <c r="P19" s="74"/>
      <c r="Q19" s="74"/>
    </row>
    <row r="20" spans="1:17" x14ac:dyDescent="0.3">
      <c r="A20" s="14"/>
      <c r="B20" s="25"/>
      <c r="C20" s="44"/>
      <c r="D20" s="90"/>
      <c r="E20" s="285" t="str">
        <f>IF(C20="","",INDEX(Data!$C$3:$M$12,MATCH(C20,Data!$B$3:$B$12,0),MATCH(Data!$D$17,Data!$C$2:$M$2,0)))</f>
        <v/>
      </c>
      <c r="F20" s="286" t="str">
        <f>IF(C20="","",D20*E20*($G$15-IF(C20=Data!$B$6,8.9,9.1))*Data!$H$29)</f>
        <v/>
      </c>
      <c r="G20" s="301"/>
      <c r="H20" s="303" t="str">
        <f t="shared" si="0"/>
        <v/>
      </c>
      <c r="I20" s="304" t="str">
        <f t="shared" si="1"/>
        <v/>
      </c>
      <c r="J20" s="285" t="str">
        <f>IF(C20="","",INDEX(Data!$C$3:$M$12,MATCH(H20,Data!$B$3:$B$12,0),11))</f>
        <v/>
      </c>
      <c r="K20" s="286" t="str">
        <f>IF(C20="","",I20*J20*($G$15-IF(C20=Data!$B$6,8.9,9.1))*Data!$H$29)</f>
        <v/>
      </c>
      <c r="L20" s="39"/>
      <c r="M20" s="39"/>
      <c r="N20" s="39"/>
      <c r="O20" s="39"/>
      <c r="P20" s="39"/>
      <c r="Q20" s="22"/>
    </row>
    <row r="21" spans="1:17" ht="16.2" x14ac:dyDescent="0.3">
      <c r="A21" s="14"/>
      <c r="B21" s="25"/>
      <c r="C21" s="44"/>
      <c r="D21" s="90"/>
      <c r="E21" s="285" t="str">
        <f>IF(C21="","",INDEX(Data!$C$3:$M$12,MATCH(C21,Data!$B$3:$B$12,0),MATCH(Data!$D$17,Data!$C$2:$M$2,0)))</f>
        <v/>
      </c>
      <c r="F21" s="286" t="str">
        <f>IF(C21="","",D21*E21*($G$15-IF(C21=Data!$B$6,8.9,9.1))*Data!$H$29)</f>
        <v/>
      </c>
      <c r="G21" s="301"/>
      <c r="H21" s="303" t="str">
        <f t="shared" si="0"/>
        <v/>
      </c>
      <c r="I21" s="304" t="str">
        <f t="shared" si="1"/>
        <v/>
      </c>
      <c r="J21" s="285" t="str">
        <f>IF(C21="","",INDEX(Data!$C$3:$M$12,MATCH(H21,Data!$B$3:$B$12,0),11))</f>
        <v/>
      </c>
      <c r="K21" s="286" t="str">
        <f>IF(C21="","",I21*J21*($G$15-IF(C21=Data!$B$6,8.9,9.1))*Data!$H$29)</f>
        <v/>
      </c>
      <c r="L21" s="39"/>
      <c r="M21" s="47"/>
      <c r="N21" s="47"/>
      <c r="O21" s="47"/>
      <c r="P21" s="47"/>
      <c r="Q21" s="22"/>
    </row>
    <row r="22" spans="1:17" x14ac:dyDescent="0.3">
      <c r="A22" s="14"/>
      <c r="B22" s="25"/>
      <c r="C22" s="44"/>
      <c r="D22" s="90"/>
      <c r="E22" s="285" t="str">
        <f>IF(C22="","",INDEX(Data!$C$3:$M$12,MATCH(C22,Data!$B$3:$B$12,0),MATCH(Data!$D$17,Data!$C$2:$M$2,0)))</f>
        <v/>
      </c>
      <c r="F22" s="286" t="str">
        <f>IF(C22="","",D22*E22*($G$15-IF(C22=Data!$B$6,8.9,9.1))*Data!$H$29)</f>
        <v/>
      </c>
      <c r="G22" s="301"/>
      <c r="H22" s="303" t="str">
        <f t="shared" si="0"/>
        <v/>
      </c>
      <c r="I22" s="304" t="str">
        <f t="shared" si="1"/>
        <v/>
      </c>
      <c r="J22" s="285" t="str">
        <f>IF(C22="","",INDEX(Data!$C$3:$M$12,MATCH(H22,Data!$B$3:$B$12,0),11))</f>
        <v/>
      </c>
      <c r="K22" s="286" t="str">
        <f>IF(C22="","",I22*J22*($G$15-IF(C22=Data!$B$6,8.9,9.1))*Data!$H$29)</f>
        <v/>
      </c>
      <c r="L22" s="39"/>
      <c r="M22" s="48"/>
      <c r="N22" s="49"/>
      <c r="O22" s="48"/>
      <c r="P22" s="39"/>
      <c r="Q22" s="22"/>
    </row>
    <row r="23" spans="1:17" x14ac:dyDescent="0.3">
      <c r="A23" s="14"/>
      <c r="B23" s="25"/>
      <c r="C23" s="44"/>
      <c r="D23" s="90"/>
      <c r="E23" s="285" t="str">
        <f>IF(C23="","",INDEX(Data!$C$3:$M$12,MATCH(C23,Data!$B$3:$B$12,0),MATCH(Data!$D$17,Data!$C$2:$M$2,0)))</f>
        <v/>
      </c>
      <c r="F23" s="286" t="str">
        <f>IF(C23="","",D23*E23*($G$15-IF(C23=Data!$B$6,8.9,9.1))*Data!$H$29)</f>
        <v/>
      </c>
      <c r="G23" s="301"/>
      <c r="H23" s="303" t="str">
        <f t="shared" si="0"/>
        <v/>
      </c>
      <c r="I23" s="304" t="str">
        <f t="shared" si="1"/>
        <v/>
      </c>
      <c r="J23" s="285" t="str">
        <f>IF(C23="","",INDEX(Data!$C$3:$M$12,MATCH(H23,Data!$B$3:$B$12,0),11))</f>
        <v/>
      </c>
      <c r="K23" s="286" t="str">
        <f>IF(C23="","",I23*J23*($G$15-IF(C23=Data!$B$6,8.9,9.1))*Data!$H$29)</f>
        <v/>
      </c>
      <c r="L23" s="39"/>
      <c r="M23" s="48"/>
      <c r="N23" s="49"/>
      <c r="O23" s="50"/>
      <c r="P23" s="39"/>
      <c r="Q23" s="22"/>
    </row>
    <row r="24" spans="1:17" x14ac:dyDescent="0.3">
      <c r="A24" s="14"/>
      <c r="B24" s="25"/>
      <c r="C24" s="44"/>
      <c r="D24" s="90"/>
      <c r="E24" s="285" t="str">
        <f>IF(C24="","",INDEX(Data!$C$3:$M$12,MATCH(C24,Data!$B$3:$B$12,0),MATCH(Data!$D$17,Data!$C$2:$M$2,0)))</f>
        <v/>
      </c>
      <c r="F24" s="286" t="str">
        <f>IF(C24="","",D24*E24*($G$15-IF(C24=Data!$B$6,8.9,9.1))*Data!$H$29)</f>
        <v/>
      </c>
      <c r="G24" s="301"/>
      <c r="H24" s="303" t="str">
        <f t="shared" si="0"/>
        <v/>
      </c>
      <c r="I24" s="304" t="str">
        <f t="shared" si="1"/>
        <v/>
      </c>
      <c r="J24" s="285" t="str">
        <f>IF(C24="","",INDEX(Data!$C$3:$M$12,MATCH(H24,Data!$B$3:$B$12,0),11))</f>
        <v/>
      </c>
      <c r="K24" s="286" t="str">
        <f>IF(C24="","",I24*J24*($G$15-IF(C24=Data!$B$6,8.9,9.1))*Data!$H$29)</f>
        <v/>
      </c>
      <c r="L24" s="21"/>
      <c r="M24" s="51"/>
      <c r="N24" s="52"/>
      <c r="O24" s="52"/>
      <c r="P24" s="14"/>
      <c r="Q24" s="22"/>
    </row>
    <row r="25" spans="1:17" x14ac:dyDescent="0.3">
      <c r="A25" s="14"/>
      <c r="B25" s="25"/>
      <c r="C25" s="44"/>
      <c r="D25" s="90"/>
      <c r="E25" s="285" t="str">
        <f>IF(C25="","",INDEX(Data!$C$3:$M$12,MATCH(C25,Data!$B$3:$B$12,0),MATCH(Data!$D$17,Data!$C$2:$M$2,0)))</f>
        <v/>
      </c>
      <c r="F25" s="286" t="str">
        <f>IF(C25="","",D25*E25*($G$15-IF(C25=Data!$B$6,8.9,9.1))*Data!$H$29)</f>
        <v/>
      </c>
      <c r="G25" s="301"/>
      <c r="H25" s="303" t="str">
        <f t="shared" si="0"/>
        <v/>
      </c>
      <c r="I25" s="304" t="str">
        <f t="shared" si="1"/>
        <v/>
      </c>
      <c r="J25" s="285" t="str">
        <f>IF(C25="","",INDEX(Data!$C$3:$M$12,MATCH(H25,Data!$B$3:$B$12,0),11))</f>
        <v/>
      </c>
      <c r="K25" s="286" t="str">
        <f>IF(C25="","",I25*J25*($G$15-IF(C25=Data!$B$6,8.9,9.1))*Data!$H$29)</f>
        <v/>
      </c>
      <c r="L25" s="52"/>
      <c r="M25" s="52"/>
      <c r="N25" s="52"/>
      <c r="O25" s="52"/>
      <c r="P25" s="14"/>
      <c r="Q25" s="22"/>
    </row>
    <row r="26" spans="1:17" x14ac:dyDescent="0.3">
      <c r="A26" s="14"/>
      <c r="B26" s="25"/>
      <c r="C26" s="44"/>
      <c r="D26" s="90"/>
      <c r="E26" s="285" t="str">
        <f>IF(C26="","",INDEX(Data!$C$3:$M$12,MATCH(C26,Data!$B$3:$B$12,0),MATCH(Data!$D$17,Data!$C$2:$M$2,0)))</f>
        <v/>
      </c>
      <c r="F26" s="286" t="str">
        <f>IF(C26="","",D26*E26*($G$15-IF(C26=Data!$B$6,8.9,9.1))*Data!$H$29)</f>
        <v/>
      </c>
      <c r="G26" s="301"/>
      <c r="H26" s="303" t="str">
        <f t="shared" si="0"/>
        <v/>
      </c>
      <c r="I26" s="304" t="str">
        <f t="shared" si="1"/>
        <v/>
      </c>
      <c r="J26" s="285" t="str">
        <f>IF(C26="","",INDEX(Data!$C$3:$M$12,MATCH(H26,Data!$B$3:$B$12,0),11))</f>
        <v/>
      </c>
      <c r="K26" s="286" t="str">
        <f>IF(C26="","",I26*J26*($G$15-IF(C26=Data!$B$6,8.9,9.1))*Data!$H$29)</f>
        <v/>
      </c>
      <c r="L26" s="52"/>
      <c r="M26" s="52"/>
      <c r="N26" s="52"/>
      <c r="O26" s="52"/>
      <c r="P26" s="14"/>
      <c r="Q26" s="22"/>
    </row>
    <row r="27" spans="1:17" x14ac:dyDescent="0.3">
      <c r="A27" s="14"/>
      <c r="B27" s="25"/>
      <c r="C27" s="44"/>
      <c r="D27" s="90"/>
      <c r="E27" s="285" t="str">
        <f>IF(C27="","",INDEX(Data!$C$3:$M$12,MATCH(C27,Data!$B$3:$B$12,0),MATCH(Data!$D$17,Data!$C$2:$M$2,0)))</f>
        <v/>
      </c>
      <c r="F27" s="286" t="str">
        <f>IF(C27="","",D27*E27*($G$15-IF(C27=Data!$B$6,8.9,9.1))*Data!$H$29)</f>
        <v/>
      </c>
      <c r="G27" s="301"/>
      <c r="H27" s="303" t="str">
        <f t="shared" si="0"/>
        <v/>
      </c>
      <c r="I27" s="304" t="str">
        <f t="shared" si="1"/>
        <v/>
      </c>
      <c r="J27" s="285" t="str">
        <f>IF(C27="","",INDEX(Data!$C$3:$M$12,MATCH(H27,Data!$B$3:$B$12,0),11))</f>
        <v/>
      </c>
      <c r="K27" s="286" t="str">
        <f>IF(C27="","",I27*J27*($G$15-IF(C27=Data!$B$6,8.9,9.1))*Data!$H$29)</f>
        <v/>
      </c>
      <c r="L27" s="52"/>
      <c r="M27" s="52"/>
      <c r="N27" s="52"/>
      <c r="O27" s="52"/>
      <c r="P27" s="14"/>
      <c r="Q27" s="22"/>
    </row>
    <row r="28" spans="1:17" x14ac:dyDescent="0.3">
      <c r="A28" s="14"/>
      <c r="B28" s="25"/>
      <c r="C28" s="44"/>
      <c r="D28" s="90"/>
      <c r="E28" s="285" t="str">
        <f>IF(C28="","",INDEX(Data!$C$3:$M$12,MATCH(C28,Data!$B$3:$B$12,0),MATCH(Data!$D$17,Data!$C$2:$M$2,0)))</f>
        <v/>
      </c>
      <c r="F28" s="286" t="str">
        <f>IF(C28="","",D28*E28*($G$15-IF(C28=Data!$B$6,8.9,9.1))*Data!$H$29)</f>
        <v/>
      </c>
      <c r="G28" s="301"/>
      <c r="H28" s="303" t="str">
        <f t="shared" si="0"/>
        <v/>
      </c>
      <c r="I28" s="304" t="str">
        <f t="shared" si="1"/>
        <v/>
      </c>
      <c r="J28" s="285" t="str">
        <f>IF(C28="","",INDEX(Data!$C$3:$M$12,MATCH(H28,Data!$B$3:$B$12,0),11))</f>
        <v/>
      </c>
      <c r="K28" s="286" t="str">
        <f>IF(C28="","",I28*J28*($G$15-IF(C28=Data!$B$6,8.9,9.1))*Data!$H$29)</f>
        <v/>
      </c>
      <c r="L28" s="52"/>
      <c r="M28" s="52"/>
      <c r="N28" s="52"/>
      <c r="O28" s="52"/>
      <c r="P28" s="14"/>
      <c r="Q28" s="22"/>
    </row>
    <row r="29" spans="1:17" x14ac:dyDescent="0.3">
      <c r="A29" s="14"/>
      <c r="B29" s="25"/>
      <c r="C29" s="65"/>
      <c r="D29" s="60"/>
      <c r="E29" s="287" t="s">
        <v>94</v>
      </c>
      <c r="F29" s="288">
        <f>SUM(F19:F28)</f>
        <v>0</v>
      </c>
      <c r="G29" s="301"/>
      <c r="H29" s="305"/>
      <c r="I29" s="305"/>
      <c r="J29" s="306" t="s">
        <v>94</v>
      </c>
      <c r="K29" s="288">
        <f>SUM(K19:K28)</f>
        <v>0</v>
      </c>
      <c r="L29" s="52"/>
      <c r="M29" s="52"/>
      <c r="N29" s="52"/>
      <c r="O29" s="52"/>
      <c r="P29" s="14"/>
      <c r="Q29" s="22"/>
    </row>
    <row r="30" spans="1:17" ht="16.2" x14ac:dyDescent="0.3">
      <c r="A30" s="14"/>
      <c r="B30" s="26"/>
      <c r="C30" s="26"/>
      <c r="D30" s="26"/>
      <c r="E30" s="26"/>
      <c r="F30" s="307"/>
      <c r="G30" s="308"/>
      <c r="H30" s="344" t="s">
        <v>35</v>
      </c>
      <c r="I30" s="344"/>
      <c r="J30" s="344"/>
      <c r="K30" s="296"/>
      <c r="L30" s="55"/>
      <c r="M30" s="56"/>
      <c r="N30" s="56"/>
      <c r="O30" s="56"/>
      <c r="P30" s="14"/>
      <c r="Q30" s="22"/>
    </row>
    <row r="31" spans="1:17" ht="16.2" x14ac:dyDescent="0.3">
      <c r="A31" s="14"/>
      <c r="B31" s="57"/>
      <c r="C31" s="338"/>
      <c r="D31" s="338"/>
      <c r="E31" s="89"/>
      <c r="F31" s="297"/>
      <c r="G31" s="297"/>
      <c r="H31" s="344"/>
      <c r="I31" s="344"/>
      <c r="J31" s="344"/>
      <c r="K31" s="296"/>
      <c r="L31" s="55"/>
      <c r="M31" s="56"/>
      <c r="N31" s="56"/>
      <c r="O31" s="56"/>
      <c r="P31" s="14"/>
      <c r="Q31" s="22"/>
    </row>
    <row r="32" spans="1:17" ht="24.75" customHeight="1" x14ac:dyDescent="0.3">
      <c r="A32" s="14"/>
      <c r="B32" s="35" t="s">
        <v>26</v>
      </c>
      <c r="C32" s="36"/>
      <c r="D32" s="36"/>
      <c r="E32" s="36"/>
      <c r="F32" s="13"/>
      <c r="G32" s="308"/>
      <c r="H32" s="344"/>
      <c r="I32" s="344"/>
      <c r="J32" s="344"/>
      <c r="K32" s="296"/>
      <c r="L32" s="55"/>
      <c r="M32" s="58"/>
      <c r="N32" s="58"/>
      <c r="O32" s="58"/>
      <c r="P32" s="14"/>
      <c r="Q32" s="22"/>
    </row>
    <row r="33" spans="1:17" x14ac:dyDescent="0.3">
      <c r="A33" s="14"/>
      <c r="B33" s="40" t="s">
        <v>174</v>
      </c>
      <c r="C33" s="40"/>
      <c r="D33" s="87">
        <f>IFERROR(F29,"")</f>
        <v>0</v>
      </c>
      <c r="E33" s="40" t="s">
        <v>27</v>
      </c>
      <c r="F33" s="13"/>
      <c r="G33" s="308"/>
      <c r="H33" s="344"/>
      <c r="I33" s="344"/>
      <c r="J33" s="344"/>
      <c r="K33" s="296"/>
      <c r="L33" s="342"/>
      <c r="M33" s="340"/>
      <c r="N33" s="340"/>
      <c r="O33" s="340"/>
      <c r="P33" s="14"/>
      <c r="Q33" s="22"/>
    </row>
    <row r="34" spans="1:17" ht="12" customHeight="1" x14ac:dyDescent="0.3">
      <c r="A34" s="14"/>
      <c r="B34" s="72"/>
      <c r="C34" s="40"/>
      <c r="D34" s="40"/>
      <c r="E34" s="40"/>
      <c r="F34" s="13"/>
      <c r="G34" s="54"/>
      <c r="H34" s="59"/>
      <c r="I34" s="54"/>
      <c r="J34" s="54"/>
      <c r="K34" s="54"/>
      <c r="L34" s="342"/>
      <c r="M34" s="340"/>
      <c r="N34" s="340"/>
      <c r="O34" s="340"/>
      <c r="P34" s="14"/>
      <c r="Q34" s="22"/>
    </row>
    <row r="35" spans="1:17" ht="18.75" customHeight="1" x14ac:dyDescent="0.3">
      <c r="A35" s="14"/>
      <c r="B35" s="311" t="s">
        <v>192</v>
      </c>
      <c r="C35" s="228"/>
      <c r="D35" s="312" t="s">
        <v>193</v>
      </c>
      <c r="E35" s="228"/>
      <c r="F35" s="13"/>
      <c r="G35" s="54"/>
      <c r="H35" s="54"/>
      <c r="I35" s="54"/>
      <c r="J35" s="54"/>
      <c r="K35" s="54"/>
      <c r="L35" s="342"/>
      <c r="M35" s="340"/>
      <c r="N35" s="340"/>
      <c r="O35" s="340"/>
      <c r="P35" s="14"/>
      <c r="Q35" s="22"/>
    </row>
    <row r="36" spans="1:17" ht="21.75" customHeight="1" x14ac:dyDescent="0.3">
      <c r="A36" s="14"/>
      <c r="B36" s="40" t="s">
        <v>175</v>
      </c>
      <c r="C36" s="40"/>
      <c r="D36" s="87">
        <f>IFERROR(K29,"")</f>
        <v>0</v>
      </c>
      <c r="E36" s="40" t="s">
        <v>27</v>
      </c>
      <c r="F36" s="13"/>
      <c r="G36" s="54"/>
      <c r="H36" s="54"/>
      <c r="I36" s="54"/>
      <c r="J36" s="54"/>
      <c r="K36" s="54"/>
      <c r="L36" s="342"/>
      <c r="M36" s="343"/>
      <c r="N36" s="343"/>
      <c r="O36" s="343"/>
      <c r="P36" s="14"/>
      <c r="Q36" s="22"/>
    </row>
    <row r="37" spans="1:17" ht="24" customHeight="1" thickBot="1" x14ac:dyDescent="0.35">
      <c r="A37" s="14"/>
      <c r="B37" s="40" t="s">
        <v>30</v>
      </c>
      <c r="C37" s="40"/>
      <c r="D37" s="88" t="str">
        <f>IFERROR((1-D36/D33)*100,"")</f>
        <v/>
      </c>
      <c r="E37" s="40" t="s">
        <v>31</v>
      </c>
      <c r="F37" s="13"/>
      <c r="G37" s="54"/>
      <c r="H37" s="54"/>
      <c r="I37" s="54"/>
      <c r="J37" s="54"/>
      <c r="K37" s="54"/>
      <c r="L37" s="342"/>
      <c r="M37" s="343"/>
      <c r="N37" s="343"/>
      <c r="O37" s="343"/>
      <c r="P37" s="14"/>
      <c r="Q37" s="22"/>
    </row>
    <row r="38" spans="1:17" ht="23.25" customHeight="1" thickBot="1" x14ac:dyDescent="0.35">
      <c r="A38" s="14"/>
      <c r="B38" s="41" t="s">
        <v>33</v>
      </c>
      <c r="C38" s="42"/>
      <c r="D38" s="229">
        <f>IFERROR(D33-D36,"")</f>
        <v>0</v>
      </c>
      <c r="E38" s="43" t="s">
        <v>27</v>
      </c>
      <c r="F38" s="13"/>
      <c r="G38" s="54"/>
      <c r="H38" s="54"/>
      <c r="I38" s="54"/>
      <c r="J38" s="54"/>
      <c r="K38" s="54"/>
      <c r="L38" s="342"/>
      <c r="M38" s="343"/>
      <c r="N38" s="343"/>
      <c r="O38" s="343"/>
      <c r="P38" s="14"/>
      <c r="Q38" s="22"/>
    </row>
    <row r="39" spans="1:17" x14ac:dyDescent="0.3">
      <c r="A39" s="14"/>
      <c r="B39" s="74"/>
      <c r="C39" s="74"/>
      <c r="D39" s="74"/>
      <c r="E39" s="74"/>
      <c r="F39" s="13"/>
      <c r="G39" s="54"/>
      <c r="H39" s="54"/>
      <c r="I39" s="54"/>
      <c r="J39" s="54"/>
      <c r="K39" s="54"/>
      <c r="L39" s="14"/>
      <c r="M39" s="14"/>
      <c r="N39" s="14"/>
      <c r="O39" s="14"/>
      <c r="P39" s="14"/>
      <c r="Q39" s="22"/>
    </row>
    <row r="40" spans="1:17" x14ac:dyDescent="0.3">
      <c r="A40" s="14"/>
      <c r="B40" s="74"/>
      <c r="C40" s="74"/>
      <c r="D40" s="74"/>
      <c r="E40" s="74"/>
      <c r="F40" s="54"/>
      <c r="G40" s="54"/>
      <c r="H40" s="54"/>
      <c r="I40" s="54"/>
      <c r="J40" s="54"/>
      <c r="K40" s="54"/>
      <c r="L40" s="14"/>
      <c r="M40" s="14"/>
      <c r="N40" s="14"/>
      <c r="O40" s="14"/>
      <c r="P40" s="14"/>
      <c r="Q40" s="22"/>
    </row>
    <row r="41" spans="1:17" x14ac:dyDescent="0.3">
      <c r="A41" s="14"/>
      <c r="B41" s="74"/>
      <c r="C41" s="74"/>
      <c r="D41" s="74"/>
      <c r="E41" s="74"/>
      <c r="F41" s="60"/>
      <c r="G41" s="53"/>
      <c r="H41" s="53"/>
      <c r="I41" s="53"/>
      <c r="J41" s="53"/>
      <c r="K41" s="53"/>
      <c r="L41" s="14"/>
      <c r="M41" s="14"/>
      <c r="N41" s="14"/>
      <c r="O41" s="14"/>
      <c r="P41" s="14"/>
      <c r="Q41" s="22"/>
    </row>
    <row r="42" spans="1:17" x14ac:dyDescent="0.3">
      <c r="A42" s="22"/>
      <c r="B42" s="74"/>
      <c r="C42" s="74"/>
      <c r="D42" s="74"/>
      <c r="E42" s="74"/>
      <c r="F42" s="22"/>
      <c r="G42" s="22"/>
      <c r="H42" s="22"/>
      <c r="I42" s="22"/>
      <c r="J42" s="22"/>
      <c r="K42" s="22"/>
      <c r="L42" s="22"/>
      <c r="M42" s="22"/>
      <c r="N42" s="22"/>
      <c r="O42" s="22"/>
      <c r="P42" s="22"/>
      <c r="Q42" s="22"/>
    </row>
    <row r="43" spans="1:17" x14ac:dyDescent="0.3">
      <c r="A43" s="22"/>
      <c r="B43" s="74"/>
      <c r="C43" s="74"/>
      <c r="D43" s="74"/>
      <c r="E43" s="74"/>
      <c r="F43" s="22"/>
      <c r="G43" s="22"/>
      <c r="H43" s="22"/>
      <c r="I43" s="22"/>
      <c r="J43" s="22"/>
      <c r="K43" s="22"/>
      <c r="L43" s="22"/>
      <c r="M43" s="22"/>
      <c r="N43" s="22"/>
      <c r="O43" s="22"/>
      <c r="P43" s="22"/>
      <c r="Q43" s="22"/>
    </row>
    <row r="44" spans="1:17" x14ac:dyDescent="0.3">
      <c r="A44" s="74"/>
      <c r="B44" s="74"/>
      <c r="C44" s="74"/>
      <c r="D44" s="74"/>
      <c r="E44" s="74"/>
      <c r="F44" s="74"/>
      <c r="G44" s="74"/>
      <c r="H44" s="74"/>
      <c r="I44" s="74"/>
      <c r="J44" s="74"/>
      <c r="K44" s="74"/>
      <c r="L44" s="74"/>
      <c r="M44" s="74"/>
      <c r="N44" s="74"/>
      <c r="O44" s="74"/>
      <c r="P44" s="74"/>
      <c r="Q44" s="74"/>
    </row>
    <row r="45" spans="1:17" x14ac:dyDescent="0.3">
      <c r="A45" s="74"/>
      <c r="B45" s="74"/>
      <c r="C45" s="74"/>
      <c r="D45" s="74"/>
      <c r="E45" s="74"/>
      <c r="F45" s="74"/>
      <c r="G45" s="74"/>
      <c r="H45" s="74"/>
      <c r="I45" s="74"/>
      <c r="J45" s="74"/>
      <c r="K45" s="74"/>
      <c r="L45" s="74"/>
      <c r="M45" s="74"/>
      <c r="N45" s="74"/>
      <c r="O45" s="74"/>
      <c r="P45" s="74"/>
      <c r="Q45" s="74"/>
    </row>
    <row r="46" spans="1:17" x14ac:dyDescent="0.3">
      <c r="A46" s="22"/>
      <c r="B46" s="22"/>
      <c r="C46" s="22"/>
      <c r="D46" s="22"/>
      <c r="E46" s="22"/>
      <c r="F46" s="22"/>
      <c r="G46" s="22"/>
      <c r="H46" s="22"/>
      <c r="I46" s="22"/>
      <c r="J46" s="22"/>
      <c r="K46" s="22"/>
      <c r="L46" s="22"/>
      <c r="M46" s="22"/>
      <c r="N46" s="22"/>
      <c r="O46" s="22"/>
      <c r="P46" s="22"/>
      <c r="Q46" s="22"/>
    </row>
    <row r="47" spans="1:17" x14ac:dyDescent="0.3">
      <c r="A47" s="22"/>
      <c r="B47" s="22"/>
      <c r="C47" s="22"/>
      <c r="D47" s="22"/>
      <c r="E47" s="22"/>
      <c r="F47" s="22"/>
      <c r="G47" s="22"/>
      <c r="H47" s="22"/>
      <c r="I47" s="22"/>
      <c r="J47" s="22"/>
      <c r="K47" s="22"/>
      <c r="L47" s="22"/>
      <c r="M47" s="22"/>
      <c r="N47" s="22"/>
      <c r="O47" s="22"/>
      <c r="P47" s="22"/>
      <c r="Q47" s="22"/>
    </row>
    <row r="48" spans="1:17" x14ac:dyDescent="0.3">
      <c r="A48" s="74"/>
      <c r="B48" s="74"/>
      <c r="C48" s="74"/>
      <c r="D48" s="74"/>
      <c r="E48" s="74"/>
      <c r="F48" s="74"/>
      <c r="G48" s="74"/>
      <c r="H48" s="74"/>
      <c r="I48" s="74"/>
      <c r="J48" s="74"/>
      <c r="K48" s="74"/>
      <c r="L48" s="74"/>
      <c r="M48" s="74"/>
      <c r="N48" s="74"/>
      <c r="O48" s="74"/>
      <c r="P48" s="74"/>
      <c r="Q48" s="74"/>
    </row>
    <row r="49" spans="1:17" x14ac:dyDescent="0.3">
      <c r="A49" s="74"/>
      <c r="B49" s="74"/>
      <c r="C49" s="74"/>
      <c r="D49" s="74"/>
      <c r="E49" s="74"/>
      <c r="F49" s="74"/>
      <c r="G49" s="74"/>
      <c r="H49" s="74"/>
      <c r="I49" s="74"/>
      <c r="J49" s="74"/>
      <c r="K49" s="74"/>
      <c r="L49" s="74"/>
      <c r="M49" s="74"/>
      <c r="N49" s="74"/>
      <c r="O49" s="74"/>
      <c r="P49" s="74"/>
      <c r="Q49" s="74"/>
    </row>
  </sheetData>
  <sheetProtection algorithmName="SHA-512" hashValue="MLj7jxe8ubRh7HB7r4d46OtSd5RhzqVsJI5XKBtoLA9YoSrkFh/LjkCXPygyenCTEmfY3Y5qVFrcPhpu+BwvNw==" saltValue="gqQwcgOs5kBgp1gMVzKPuw==" spinCount="100000" sheet="1" selectLockedCells="1"/>
  <mergeCells count="16">
    <mergeCell ref="L36:L38"/>
    <mergeCell ref="M36:O38"/>
    <mergeCell ref="L18:L19"/>
    <mergeCell ref="L33:L35"/>
    <mergeCell ref="H30:J33"/>
    <mergeCell ref="C31:D31"/>
    <mergeCell ref="B16:C16"/>
    <mergeCell ref="C17:D17"/>
    <mergeCell ref="M33:O35"/>
    <mergeCell ref="N14:O14"/>
    <mergeCell ref="B12:K12"/>
    <mergeCell ref="C9:L9"/>
    <mergeCell ref="B1:C2"/>
    <mergeCell ref="D1:F2"/>
    <mergeCell ref="B5:L6"/>
    <mergeCell ref="C7:L7"/>
  </mergeCells>
  <dataValidations xWindow="862" yWindow="672" count="3">
    <dataValidation type="custom" operator="greaterThan" allowBlank="1" showInputMessage="1" showErrorMessage="1" sqref="G14">
      <formula1>ISNUMBER(G14)=TRUE</formula1>
    </dataValidation>
    <dataValidation type="decimal" operator="greaterThan" allowBlank="1" showInputMessage="1" showErrorMessage="1" sqref="D19:D28">
      <formula1>0</formula1>
    </dataValidation>
    <dataValidation type="whole" operator="lessThan" allowBlank="1" showInputMessage="1" showErrorMessage="1" errorTitle="Ugyldig årgang" error="Denne standardløsning er ikke gyldig for bygninger opført efter 2017." sqref="D13">
      <formula1>2018</formula1>
    </dataValidation>
  </dataValidations>
  <pageMargins left="0.7" right="0.7" top="0.75" bottom="0.75" header="0.3" footer="0.3"/>
  <pageSetup paperSize="9" orientation="portrait" r:id="rId1"/>
  <drawing r:id="rId2"/>
  <legacyDrawing r:id="rId3"/>
  <oleObjects>
    <mc:AlternateContent xmlns:mc="http://schemas.openxmlformats.org/markup-compatibility/2006">
      <mc:Choice Requires="x14">
        <oleObject progId="AcroExch.Document.DC" dvAspect="DVASPECT_ICON" shapeId="3073" r:id="rId4">
          <objectPr defaultSize="0" autoPict="0" r:id="rId5">
            <anchor moveWithCells="1">
              <from>
                <xdr:col>13</xdr:col>
                <xdr:colOff>502920</xdr:colOff>
                <xdr:row>39</xdr:row>
                <xdr:rowOff>60960</xdr:rowOff>
              </from>
              <to>
                <xdr:col>14</xdr:col>
                <xdr:colOff>998220</xdr:colOff>
                <xdr:row>46</xdr:row>
                <xdr:rowOff>175260</xdr:rowOff>
              </to>
            </anchor>
          </objectPr>
        </oleObject>
      </mc:Choice>
      <mc:Fallback>
        <oleObject progId="AcroExch.Document.DC" dvAspect="DVASPECT_ICON" shapeId="3073" r:id="rId4"/>
      </mc:Fallback>
    </mc:AlternateContent>
  </oleObjects>
  <extLst>
    <ext xmlns:x14="http://schemas.microsoft.com/office/spreadsheetml/2009/9/main" uri="{78C0D931-6437-407d-A8EE-F0AAD7539E65}">
      <x14:conditionalFormattings>
        <x14:conditionalFormatting xmlns:xm="http://schemas.microsoft.com/office/excel/2006/main">
          <x14:cfRule type="iconSet" priority="32" id="{D36721D1-50B3-4FEF-AC32-6A9CD2F57E9E}">
            <x14:iconSet iconSet="3Symbols2" custom="1">
              <x14:cfvo type="percent">
                <xm:f>0</xm:f>
              </x14:cfvo>
              <x14:cfvo type="num">
                <xm:f>-0.5</xm:f>
              </x14:cfvo>
              <x14:cfvo type="num">
                <xm:f>0.5</xm:f>
              </x14:cfvo>
              <x14:cfIcon iconSet="3Symbols2" iconId="0"/>
              <x14:cfIcon iconSet="3Symbols2" iconId="1"/>
              <x14:cfIcon iconSet="3Symbols2" iconId="2"/>
            </x14:iconSet>
          </x14:cfRule>
          <xm:sqref>P7:P9</xm:sqref>
        </x14:conditionalFormatting>
        <x14:conditionalFormatting xmlns:xm="http://schemas.microsoft.com/office/excel/2006/main">
          <x14:cfRule type="iconSet" priority="33" id="{DE54E1BC-5875-43EA-A97F-B02802DBBD45}">
            <x14:iconSet iconSet="3Symbols2" custom="1">
              <x14:cfvo type="percent">
                <xm:f>0</xm:f>
              </x14:cfvo>
              <x14:cfvo type="num">
                <xm:f>-0.5</xm:f>
              </x14:cfvo>
              <x14:cfvo type="num">
                <xm:f>0.5</xm:f>
              </x14:cfvo>
              <x14:cfIcon iconSet="3Symbols2" iconId="0"/>
              <x14:cfIcon iconSet="3Symbols2" iconId="1"/>
              <x14:cfIcon iconSet="3Symbols2" iconId="2"/>
            </x14:iconSet>
          </x14:cfRule>
          <xm:sqref>I11 E10</xm:sqref>
        </x14:conditionalFormatting>
        <x14:conditionalFormatting xmlns:xm="http://schemas.microsoft.com/office/excel/2006/main">
          <x14:cfRule type="expression" priority="11" id="{8A199133-D90B-40E8-8DF2-422CBAFADB9D}">
            <xm:f>Data!$L$18=0</xm:f>
            <x14:dxf>
              <font>
                <color theme="9" tint="0.59996337778862885"/>
              </font>
              <fill>
                <patternFill>
                  <bgColor theme="9" tint="0.59996337778862885"/>
                </patternFill>
              </fill>
              <border>
                <left/>
                <right/>
                <top style="thin">
                  <color auto="1"/>
                </top>
                <bottom style="thin">
                  <color auto="1"/>
                </bottom>
                <vertical/>
                <horizontal/>
              </border>
            </x14:dxf>
          </x14:cfRule>
          <xm:sqref>G14</xm:sqref>
        </x14:conditionalFormatting>
        <x14:conditionalFormatting xmlns:xm="http://schemas.microsoft.com/office/excel/2006/main">
          <x14:cfRule type="expression" priority="7" id="{7EE7A9F8-98B6-4F76-A269-AAF359B082FC}">
            <xm:f>G14=Data!H32</xm:f>
            <x14:dxf>
              <font>
                <color theme="9" tint="0.59996337778862885"/>
              </font>
              <fill>
                <patternFill>
                  <bgColor theme="9" tint="0.59996337778862885"/>
                </patternFill>
              </fill>
              <border>
                <left/>
                <vertical/>
                <horizontal/>
              </border>
            </x14:dxf>
          </x14:cfRule>
          <xm:sqref>I14</xm:sqref>
        </x14:conditionalFormatting>
        <x14:conditionalFormatting xmlns:xm="http://schemas.microsoft.com/office/excel/2006/main">
          <x14:cfRule type="expression" priority="6" id="{D4AF1093-5304-42EC-B493-41C68D2CB815}">
            <xm:f>Data!$C$42=Data!$E$42</xm:f>
            <x14:dxf>
              <font>
                <color theme="9" tint="0.59996337778862885"/>
              </font>
              <fill>
                <patternFill>
                  <bgColor theme="9" tint="0.59996337778862885"/>
                </patternFill>
              </fill>
              <border>
                <left/>
                <right/>
                <top/>
                <bottom/>
                <vertical/>
                <horizontal/>
              </border>
            </x14:dxf>
          </x14:cfRule>
          <xm:sqref>H17:K29</xm:sqref>
        </x14:conditionalFormatting>
        <x14:conditionalFormatting xmlns:xm="http://schemas.microsoft.com/office/excel/2006/main">
          <x14:cfRule type="expression" priority="34" id="{1E456EBA-2DD9-4BAA-9C30-202E0D136953}">
            <xm:f>#REF!&lt;&gt;Data!E31</xm:f>
            <x14:dxf>
              <font>
                <color theme="9" tint="0.59996337778862885"/>
              </font>
              <fill>
                <patternFill>
                  <bgColor theme="9" tint="0.59996337778862885"/>
                </patternFill>
              </fill>
            </x14:dxf>
          </x14:cfRule>
          <xm:sqref>F14</xm:sqref>
        </x14:conditionalFormatting>
        <x14:conditionalFormatting xmlns:xm="http://schemas.microsoft.com/office/excel/2006/main">
          <x14:cfRule type="expression" priority="35" id="{7EE7A9F8-98B6-4F76-A269-AAF359B082FC}">
            <xm:f>#REF!=Data!E31</xm:f>
            <x14:dxf>
              <font>
                <color theme="9" tint="0.59996337778862885"/>
              </font>
              <fill>
                <patternFill>
                  <bgColor theme="9" tint="0.59996337778862885"/>
                </patternFill>
              </fill>
              <border>
                <left/>
                <vertical/>
                <horizontal/>
              </border>
            </x14:dxf>
          </x14:cfRule>
          <xm:sqref>F13</xm:sqref>
        </x14:conditionalFormatting>
        <x14:conditionalFormatting xmlns:xm="http://schemas.microsoft.com/office/excel/2006/main">
          <x14:cfRule type="expression" priority="1" id="{EB4120D2-5270-44DE-A42B-06232481C891}">
            <xm:f>Data!$I$18=0</xm:f>
            <x14:dxf>
              <font>
                <color theme="9" tint="0.59996337778862885"/>
              </font>
            </x14:dxf>
          </x14:cfRule>
          <xm:sqref>B14:E14</xm:sqref>
        </x14:conditionalFormatting>
      </x14:conditionalFormattings>
    </ext>
    <ext xmlns:x14="http://schemas.microsoft.com/office/spreadsheetml/2009/9/main" uri="{CCE6A557-97BC-4b89-ADB6-D9C93CAAB3DF}">
      <x14:dataValidations xmlns:xm="http://schemas.microsoft.com/office/excel/2006/main" xWindow="862" yWindow="672" count="2">
        <x14:dataValidation type="list" allowBlank="1" showInputMessage="1" showErrorMessage="1">
          <x14:formula1>
            <xm:f>Data!$B$24:$B$25</xm:f>
          </x14:formula1>
          <xm:sqref>N7:N9</xm:sqref>
        </x14:dataValidation>
        <x14:dataValidation type="list" allowBlank="1" showInputMessage="1" showErrorMessage="1">
          <x14:formula1>
            <xm:f>Data!$B$3:$B$12</xm:f>
          </x14:formula1>
          <xm:sqref>C19:C28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7"/>
  <sheetViews>
    <sheetView zoomScale="75" zoomScaleNormal="75" workbookViewId="0">
      <selection activeCell="B12" sqref="B12"/>
    </sheetView>
  </sheetViews>
  <sheetFormatPr defaultRowHeight="14.4" x14ac:dyDescent="0.3"/>
  <cols>
    <col min="2" max="2" width="37.33203125" customWidth="1"/>
    <col min="3" max="4" width="8.6640625" bestFit="1" customWidth="1"/>
    <col min="5" max="5" width="7.88671875" bestFit="1" customWidth="1"/>
    <col min="6" max="6" width="12.33203125" customWidth="1"/>
    <col min="7" max="7" width="9" customWidth="1"/>
    <col min="8" max="8" width="10.33203125" customWidth="1"/>
    <col min="9" max="9" width="22.44140625" bestFit="1" customWidth="1"/>
    <col min="10" max="10" width="18.109375" customWidth="1"/>
    <col min="11" max="11" width="10.44140625" customWidth="1"/>
    <col min="12" max="12" width="23.5546875" customWidth="1"/>
  </cols>
  <sheetData>
    <row r="1" spans="2:20" ht="15" thickBot="1" x14ac:dyDescent="0.35">
      <c r="O1" t="s">
        <v>15</v>
      </c>
      <c r="P1" t="s">
        <v>14</v>
      </c>
    </row>
    <row r="2" spans="2:20" ht="16.2" thickBot="1" x14ac:dyDescent="0.35">
      <c r="B2" s="6" t="s">
        <v>0</v>
      </c>
      <c r="C2" s="6" t="s">
        <v>15</v>
      </c>
      <c r="D2" s="6" t="s">
        <v>14</v>
      </c>
      <c r="E2" s="6" t="s">
        <v>1</v>
      </c>
      <c r="F2" s="6" t="s">
        <v>2</v>
      </c>
      <c r="G2" s="6" t="s">
        <v>3</v>
      </c>
      <c r="H2" s="6" t="s">
        <v>16</v>
      </c>
      <c r="I2" s="6" t="s">
        <v>17</v>
      </c>
      <c r="J2" s="6" t="s">
        <v>18</v>
      </c>
      <c r="K2" s="6" t="s">
        <v>41</v>
      </c>
      <c r="L2" s="6" t="s">
        <v>40</v>
      </c>
      <c r="M2" s="7" t="s">
        <v>13</v>
      </c>
      <c r="O2" s="61" t="s">
        <v>47</v>
      </c>
      <c r="T2" s="6" t="s">
        <v>49</v>
      </c>
    </row>
    <row r="3" spans="2:20" ht="15.6" thickBot="1" x14ac:dyDescent="0.35">
      <c r="B3" s="2" t="s">
        <v>50</v>
      </c>
      <c r="C3" s="69">
        <f t="shared" ref="C3:C11" si="0">O3*4184/3600</f>
        <v>0.58111111111111113</v>
      </c>
      <c r="D3" s="69">
        <f t="shared" ref="D3:D11" si="1">P3*4184/3600</f>
        <v>0.58111111111111113</v>
      </c>
      <c r="E3" s="2">
        <v>0.6</v>
      </c>
      <c r="F3" s="2">
        <v>0.3</v>
      </c>
      <c r="G3" s="2">
        <v>0.3</v>
      </c>
      <c r="H3" s="2">
        <v>0.3</v>
      </c>
      <c r="I3" s="2">
        <v>0.3</v>
      </c>
      <c r="J3" s="2">
        <v>0.2</v>
      </c>
      <c r="K3" s="71">
        <v>0.3</v>
      </c>
      <c r="L3" s="2">
        <v>0.3</v>
      </c>
      <c r="M3" s="5">
        <v>0.3</v>
      </c>
      <c r="O3" s="2">
        <v>0.5</v>
      </c>
      <c r="P3" s="2">
        <v>0.5</v>
      </c>
      <c r="T3" s="71">
        <v>0.4</v>
      </c>
    </row>
    <row r="4" spans="2:20" ht="15.6" thickBot="1" x14ac:dyDescent="0.35">
      <c r="B4" s="1" t="s">
        <v>4</v>
      </c>
      <c r="C4" s="70">
        <f t="shared" si="0"/>
        <v>0.46488888888888891</v>
      </c>
      <c r="D4" s="70">
        <f t="shared" si="1"/>
        <v>0.46488888888888891</v>
      </c>
      <c r="E4" s="66">
        <v>0.4</v>
      </c>
      <c r="F4" s="66">
        <v>0.4</v>
      </c>
      <c r="G4" s="66">
        <v>0.4</v>
      </c>
      <c r="H4" s="1">
        <v>0.4</v>
      </c>
      <c r="I4" s="1">
        <v>0.4</v>
      </c>
      <c r="J4" s="1">
        <v>0.3</v>
      </c>
      <c r="K4" s="1">
        <v>0.4</v>
      </c>
      <c r="L4" s="1">
        <v>0.3</v>
      </c>
      <c r="M4" s="4">
        <v>0.3</v>
      </c>
      <c r="O4" s="66">
        <v>0.4</v>
      </c>
      <c r="P4" s="66">
        <v>0.4</v>
      </c>
      <c r="T4" s="1">
        <v>0.4</v>
      </c>
    </row>
    <row r="5" spans="2:20" ht="15.6" thickBot="1" x14ac:dyDescent="0.35">
      <c r="B5" s="2" t="s">
        <v>5</v>
      </c>
      <c r="C5" s="69">
        <f t="shared" si="0"/>
        <v>1.9757777777777779</v>
      </c>
      <c r="D5" s="69">
        <f t="shared" si="1"/>
        <v>1.9757777777777779</v>
      </c>
      <c r="E5" s="2">
        <v>2</v>
      </c>
      <c r="F5" s="2">
        <v>0.5</v>
      </c>
      <c r="G5" s="2">
        <v>0.5</v>
      </c>
      <c r="H5" s="2">
        <v>0.5</v>
      </c>
      <c r="I5" s="2">
        <v>0.5</v>
      </c>
      <c r="J5" s="2">
        <v>0.4</v>
      </c>
      <c r="K5" s="2">
        <v>0.5</v>
      </c>
      <c r="L5" s="2">
        <v>0.4</v>
      </c>
      <c r="M5" s="5">
        <v>0.4</v>
      </c>
      <c r="O5" s="2">
        <v>1.7</v>
      </c>
      <c r="P5" s="2">
        <v>1.7</v>
      </c>
      <c r="T5" s="2">
        <v>0.5</v>
      </c>
    </row>
    <row r="6" spans="2:20" ht="15.6" thickBot="1" x14ac:dyDescent="0.35">
      <c r="B6" s="1" t="s">
        <v>6</v>
      </c>
      <c r="C6" s="69">
        <f t="shared" si="0"/>
        <v>0.46488888888888891</v>
      </c>
      <c r="D6" s="69">
        <f t="shared" si="1"/>
        <v>0.46488888888888891</v>
      </c>
      <c r="E6" s="1">
        <v>0.45</v>
      </c>
      <c r="F6" s="1">
        <v>0.3</v>
      </c>
      <c r="G6" s="1">
        <v>0.3</v>
      </c>
      <c r="H6" s="1">
        <v>0.3</v>
      </c>
      <c r="I6" s="1">
        <v>0.3</v>
      </c>
      <c r="J6" s="1">
        <v>0.2</v>
      </c>
      <c r="K6" s="1">
        <v>0.3</v>
      </c>
      <c r="L6" s="1">
        <v>0.2</v>
      </c>
      <c r="M6" s="4">
        <v>0.2</v>
      </c>
      <c r="O6" s="1">
        <v>0.4</v>
      </c>
      <c r="P6" s="1">
        <v>0.4</v>
      </c>
      <c r="T6" s="1">
        <v>0.3</v>
      </c>
    </row>
    <row r="7" spans="2:20" ht="15.6" thickBot="1" x14ac:dyDescent="0.35">
      <c r="B7" s="1" t="s">
        <v>7</v>
      </c>
      <c r="C7" s="69">
        <f t="shared" si="0"/>
        <v>0.58111111111111113</v>
      </c>
      <c r="D7" s="69">
        <f t="shared" si="1"/>
        <v>0.58111111111111113</v>
      </c>
      <c r="E7" s="1">
        <v>0.6</v>
      </c>
      <c r="F7" s="1">
        <v>0.6</v>
      </c>
      <c r="G7" s="1">
        <v>0.3</v>
      </c>
      <c r="H7" s="1">
        <v>0.3</v>
      </c>
      <c r="I7" s="1">
        <v>0.3</v>
      </c>
      <c r="J7" s="1">
        <v>0.2</v>
      </c>
      <c r="K7" s="1">
        <v>0.3</v>
      </c>
      <c r="L7" s="1">
        <v>0.2</v>
      </c>
      <c r="M7" s="4">
        <v>0.2</v>
      </c>
      <c r="O7" s="1">
        <v>0.5</v>
      </c>
      <c r="P7" s="1">
        <v>0.5</v>
      </c>
      <c r="T7" s="1">
        <v>0.3</v>
      </c>
    </row>
    <row r="8" spans="2:20" ht="15.6" thickBot="1" x14ac:dyDescent="0.35">
      <c r="B8" s="2" t="s">
        <v>8</v>
      </c>
      <c r="C8" s="69">
        <f t="shared" si="0"/>
        <v>0.46488888888888891</v>
      </c>
      <c r="D8" s="69">
        <f t="shared" si="1"/>
        <v>0.46488888888888891</v>
      </c>
      <c r="E8" s="67">
        <v>0.45</v>
      </c>
      <c r="F8" s="2">
        <v>0.45</v>
      </c>
      <c r="G8" s="2">
        <v>0.2</v>
      </c>
      <c r="H8" s="67">
        <v>0.2</v>
      </c>
      <c r="I8" s="67">
        <v>0.2</v>
      </c>
      <c r="J8" s="2">
        <v>0.2</v>
      </c>
      <c r="K8" s="71">
        <v>0.2</v>
      </c>
      <c r="L8" s="2">
        <v>0.2</v>
      </c>
      <c r="M8" s="5">
        <v>0.2</v>
      </c>
      <c r="O8" s="2">
        <v>0.4</v>
      </c>
      <c r="P8" s="2">
        <v>0.4</v>
      </c>
      <c r="T8" s="71">
        <v>0.3</v>
      </c>
    </row>
    <row r="9" spans="2:20" ht="15.6" thickBot="1" x14ac:dyDescent="0.35">
      <c r="B9" s="2" t="s">
        <v>9</v>
      </c>
      <c r="C9" s="69">
        <f t="shared" si="0"/>
        <v>0.46488888888888891</v>
      </c>
      <c r="D9" s="69">
        <f t="shared" si="1"/>
        <v>0.46488888888888891</v>
      </c>
      <c r="E9" s="2">
        <v>0.45</v>
      </c>
      <c r="F9" s="2">
        <v>0.2</v>
      </c>
      <c r="G9" s="2">
        <v>0.2</v>
      </c>
      <c r="H9" s="2">
        <v>0.2</v>
      </c>
      <c r="I9" s="2">
        <v>0.2</v>
      </c>
      <c r="J9" s="2">
        <v>0.15</v>
      </c>
      <c r="K9" s="71">
        <v>0.2</v>
      </c>
      <c r="L9" s="2">
        <v>0.2</v>
      </c>
      <c r="M9" s="5">
        <v>0.2</v>
      </c>
      <c r="O9" s="2">
        <v>0.4</v>
      </c>
      <c r="P9" s="2">
        <v>0.4</v>
      </c>
      <c r="T9" s="71">
        <v>0.25</v>
      </c>
    </row>
    <row r="10" spans="2:20" ht="15.6" thickBot="1" x14ac:dyDescent="0.35">
      <c r="B10" s="1" t="s">
        <v>10</v>
      </c>
      <c r="C10" s="69">
        <f t="shared" si="0"/>
        <v>0.46488888888888891</v>
      </c>
      <c r="D10" s="69">
        <f t="shared" si="1"/>
        <v>0.46488888888888891</v>
      </c>
      <c r="E10" s="66">
        <v>0.2</v>
      </c>
      <c r="F10" s="66">
        <v>0.2</v>
      </c>
      <c r="G10" s="66">
        <v>0.2</v>
      </c>
      <c r="H10" s="66">
        <v>0.2</v>
      </c>
      <c r="I10" s="66">
        <v>0.2</v>
      </c>
      <c r="J10" s="1">
        <v>0.2</v>
      </c>
      <c r="K10" s="71">
        <v>0.2</v>
      </c>
      <c r="L10" s="1">
        <v>0.2</v>
      </c>
      <c r="M10" s="4">
        <v>0.2</v>
      </c>
      <c r="O10" s="1">
        <v>0.4</v>
      </c>
      <c r="P10" s="1">
        <v>0.4</v>
      </c>
      <c r="T10" s="71">
        <v>0.25</v>
      </c>
    </row>
    <row r="11" spans="2:20" ht="15.6" thickBot="1" x14ac:dyDescent="0.35">
      <c r="B11" s="2" t="s">
        <v>11</v>
      </c>
      <c r="C11" s="70">
        <f t="shared" si="0"/>
        <v>2.3244444444444445</v>
      </c>
      <c r="D11" s="70">
        <f t="shared" si="1"/>
        <v>2.3244444444444445</v>
      </c>
      <c r="E11" s="67">
        <v>2</v>
      </c>
      <c r="F11" s="2">
        <v>2</v>
      </c>
      <c r="G11" s="2">
        <v>2</v>
      </c>
      <c r="H11" s="2">
        <v>2</v>
      </c>
      <c r="I11" s="2">
        <v>2</v>
      </c>
      <c r="J11" s="2">
        <v>1.8</v>
      </c>
      <c r="K11" s="2">
        <v>2</v>
      </c>
      <c r="L11" s="2">
        <v>1.8</v>
      </c>
      <c r="M11" s="5">
        <v>1.4</v>
      </c>
      <c r="O11" s="67">
        <v>2</v>
      </c>
      <c r="P11" s="67">
        <v>2</v>
      </c>
      <c r="T11" s="2">
        <v>2</v>
      </c>
    </row>
    <row r="12" spans="2:20" ht="15.6" thickBot="1" x14ac:dyDescent="0.35">
      <c r="B12" s="1" t="s">
        <v>12</v>
      </c>
      <c r="C12" s="1">
        <v>1.8</v>
      </c>
      <c r="D12" s="1">
        <v>1.8</v>
      </c>
      <c r="E12" s="1">
        <v>1.8</v>
      </c>
      <c r="F12" s="1">
        <v>1.8</v>
      </c>
      <c r="G12" s="1">
        <v>1.8</v>
      </c>
      <c r="H12" s="1">
        <v>1.8</v>
      </c>
      <c r="I12" s="1">
        <v>1.8</v>
      </c>
      <c r="J12" s="1">
        <v>1.8</v>
      </c>
      <c r="K12" s="1">
        <v>1.8</v>
      </c>
      <c r="L12" s="1">
        <v>1.8</v>
      </c>
      <c r="M12" s="4">
        <v>0.8</v>
      </c>
      <c r="O12" s="66">
        <v>2.9</v>
      </c>
      <c r="P12" s="66">
        <v>2.9</v>
      </c>
      <c r="T12" s="1">
        <v>2</v>
      </c>
    </row>
    <row r="13" spans="2:20" ht="15" x14ac:dyDescent="0.3">
      <c r="B13" s="5" t="s">
        <v>164</v>
      </c>
      <c r="C13" s="226">
        <v>3.37</v>
      </c>
      <c r="D13" s="226">
        <v>3.37</v>
      </c>
      <c r="E13" s="226">
        <v>2.9</v>
      </c>
      <c r="F13" s="224">
        <v>2.9</v>
      </c>
      <c r="G13" s="224">
        <v>2.9</v>
      </c>
      <c r="H13" s="226">
        <v>2.9</v>
      </c>
      <c r="I13" s="226">
        <v>2.9</v>
      </c>
      <c r="K13" s="224">
        <v>2</v>
      </c>
    </row>
    <row r="14" spans="2:20" x14ac:dyDescent="0.3">
      <c r="H14" t="s">
        <v>52</v>
      </c>
    </row>
    <row r="16" spans="2:20" x14ac:dyDescent="0.3">
      <c r="D16" t="s">
        <v>39</v>
      </c>
    </row>
    <row r="17" spans="2:24" x14ac:dyDescent="0.3">
      <c r="D17" t="str">
        <f>IF(AND('Optimering af klimaskærm'!D13&lt;1972,'Optimering af klimaskærm'!D13&gt;=1967),"BR 67",IF(AND('Optimering af klimaskærm'!D13&gt;=1972,'Optimering af klimaskærm'!D13&lt;1977),"BR 72",IF(AND('Optimering af klimaskærm'!D13&gt;=1977,'Optimering af klimaskærm'!D13&lt;1982),"BR 77",IF(AND('Optimering af klimaskærm'!D13&gt;=1982,'Optimering af klimaskærm'!D13&lt;1985),"BR 82",IF(AND('Optimering af klimaskærm'!D13&gt;=1985,'Optimering af klimaskærm'!D13&lt;1995),"BR 85",IF(AND('Optimering af klimaskærm'!D13&gt;=1995,'Optimering af klimaskærm'!D13&lt;2008),"BR 95 og BR 98",IF(AND('Optimering af klimaskærm'!D13&gt;=2008,'Optimering af klimaskærm'!D13&lt;2010),"BR 08",IF(AND('Optimering af klimaskærm'!D13&gt;=2010,'Optimering af klimaskærm'!D13&lt;2018),"BR 10 og BR 15",IF('Optimering af klimaskærm'!D13&lt;1967,"BR 61")))))))))</f>
        <v>BR 61</v>
      </c>
      <c r="I17" t="s">
        <v>160</v>
      </c>
      <c r="J17" t="s">
        <v>166</v>
      </c>
      <c r="K17" t="s">
        <v>167</v>
      </c>
      <c r="L17" t="s">
        <v>171</v>
      </c>
    </row>
    <row r="18" spans="2:24" x14ac:dyDescent="0.3">
      <c r="I18" t="e">
        <f>IF(OR('Optimering af klimaskærm'!#REF!=E28,'Optimering af klimaskærm'!#REF!=E32),1,0)</f>
        <v>#REF!</v>
      </c>
      <c r="J18" t="e">
        <f>IF('Optimering af klimaskærm'!#REF!=E29,1,0)</f>
        <v>#REF!</v>
      </c>
      <c r="K18" t="e">
        <f>IF(J18=1,'Optimering af klimaskærm'!#REF!,IF(I18=1,'Optimering af klimaskærm'!#REF!,IF('Optimering af klimaskærm'!#REF!=E30,E30,IF('Optimering af klimaskærm'!#REF!=E31,E31,""))))</f>
        <v>#REF!</v>
      </c>
      <c r="L18" t="e">
        <f>IF('Optimering af klimaskærm'!#REF!=E31,1,0)</f>
        <v>#REF!</v>
      </c>
      <c r="N18" s="73" t="s">
        <v>95</v>
      </c>
    </row>
    <row r="19" spans="2:24" x14ac:dyDescent="0.3">
      <c r="D19">
        <f>INDEX(C3:M12,MATCH(B21,B3:B12,0),MATCH(B22,C2:M2,0))</f>
        <v>1.8</v>
      </c>
    </row>
    <row r="20" spans="2:24" ht="15" thickBot="1" x14ac:dyDescent="0.35"/>
    <row r="21" spans="2:24" ht="15.6" thickBot="1" x14ac:dyDescent="0.35">
      <c r="B21" s="1" t="s">
        <v>12</v>
      </c>
    </row>
    <row r="22" spans="2:24" ht="15" customHeight="1" x14ac:dyDescent="0.3">
      <c r="B22" s="3" t="s">
        <v>14</v>
      </c>
    </row>
    <row r="24" spans="2:24" x14ac:dyDescent="0.3">
      <c r="B24" t="s">
        <v>46</v>
      </c>
    </row>
    <row r="25" spans="2:24" x14ac:dyDescent="0.3">
      <c r="B25" t="s">
        <v>24</v>
      </c>
      <c r="G25" t="s">
        <v>42</v>
      </c>
      <c r="H25">
        <v>8.9</v>
      </c>
    </row>
    <row r="26" spans="2:24" x14ac:dyDescent="0.3">
      <c r="G26" t="s">
        <v>43</v>
      </c>
      <c r="H26">
        <v>9.1</v>
      </c>
    </row>
    <row r="27" spans="2:24" x14ac:dyDescent="0.3">
      <c r="X27" t="s">
        <v>57</v>
      </c>
    </row>
    <row r="28" spans="2:24" x14ac:dyDescent="0.3">
      <c r="E28" t="s">
        <v>161</v>
      </c>
      <c r="X28" t="s">
        <v>65</v>
      </c>
    </row>
    <row r="29" spans="2:24" x14ac:dyDescent="0.3">
      <c r="E29" t="s">
        <v>162</v>
      </c>
      <c r="G29" t="s">
        <v>44</v>
      </c>
      <c r="H29">
        <f>3600*8760/3600000000</f>
        <v>8.7600000000000004E-3</v>
      </c>
      <c r="X29" t="s">
        <v>78</v>
      </c>
    </row>
    <row r="30" spans="2:24" x14ac:dyDescent="0.3">
      <c r="E30" t="s">
        <v>91</v>
      </c>
      <c r="X30" t="s">
        <v>74</v>
      </c>
    </row>
    <row r="31" spans="2:24" x14ac:dyDescent="0.3">
      <c r="E31" t="s">
        <v>38</v>
      </c>
      <c r="X31" t="s">
        <v>79</v>
      </c>
    </row>
    <row r="32" spans="2:24" x14ac:dyDescent="0.3">
      <c r="E32" t="s">
        <v>96</v>
      </c>
      <c r="X32" t="s">
        <v>78</v>
      </c>
    </row>
    <row r="33" spans="2:24" x14ac:dyDescent="0.3">
      <c r="X33" t="s">
        <v>76</v>
      </c>
    </row>
    <row r="34" spans="2:24" x14ac:dyDescent="0.3">
      <c r="X34" t="s">
        <v>80</v>
      </c>
    </row>
    <row r="38" spans="2:24" x14ac:dyDescent="0.3">
      <c r="M38" t="s">
        <v>169</v>
      </c>
    </row>
    <row r="39" spans="2:24" x14ac:dyDescent="0.3">
      <c r="I39" t="s">
        <v>168</v>
      </c>
      <c r="J39" t="s">
        <v>170</v>
      </c>
      <c r="M39" t="e">
        <f>VLOOKUP(K18,I40:J47,2,0)</f>
        <v>#REF!</v>
      </c>
    </row>
    <row r="40" spans="2:24" x14ac:dyDescent="0.3">
      <c r="I40" s="79" t="s">
        <v>129</v>
      </c>
      <c r="J40" t="s">
        <v>65</v>
      </c>
    </row>
    <row r="41" spans="2:24" x14ac:dyDescent="0.3">
      <c r="I41" s="79" t="s">
        <v>131</v>
      </c>
      <c r="J41" t="s">
        <v>109</v>
      </c>
    </row>
    <row r="42" spans="2:24" x14ac:dyDescent="0.3">
      <c r="B42" t="s">
        <v>186</v>
      </c>
      <c r="C42" t="s">
        <v>46</v>
      </c>
      <c r="D42" t="s">
        <v>46</v>
      </c>
      <c r="E42" t="s">
        <v>24</v>
      </c>
      <c r="I42" s="79" t="s">
        <v>132</v>
      </c>
      <c r="J42" t="s">
        <v>165</v>
      </c>
    </row>
    <row r="43" spans="2:24" x14ac:dyDescent="0.3">
      <c r="I43" s="79" t="s">
        <v>133</v>
      </c>
      <c r="J43" t="s">
        <v>113</v>
      </c>
    </row>
    <row r="44" spans="2:24" x14ac:dyDescent="0.3">
      <c r="I44" s="79" t="s">
        <v>134</v>
      </c>
      <c r="J44" t="s">
        <v>65</v>
      </c>
    </row>
    <row r="45" spans="2:24" x14ac:dyDescent="0.3">
      <c r="I45" s="79" t="s">
        <v>136</v>
      </c>
      <c r="J45" t="s">
        <v>109</v>
      </c>
    </row>
    <row r="46" spans="2:24" x14ac:dyDescent="0.3">
      <c r="I46" s="79" t="s">
        <v>91</v>
      </c>
      <c r="J46" t="s">
        <v>91</v>
      </c>
    </row>
    <row r="47" spans="2:24" x14ac:dyDescent="0.3">
      <c r="I47" s="79" t="s">
        <v>38</v>
      </c>
      <c r="J47" t="s">
        <v>141</v>
      </c>
    </row>
  </sheetData>
  <dataValidations count="1">
    <dataValidation type="list" allowBlank="1" showInputMessage="1" showErrorMessage="1" sqref="C42">
      <formula1>$D$42:$E$42</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9"/>
  <sheetViews>
    <sheetView workbookViewId="0">
      <selection activeCell="F11" sqref="F11"/>
    </sheetView>
  </sheetViews>
  <sheetFormatPr defaultColWidth="9.33203125" defaultRowHeight="15" customHeight="1" x14ac:dyDescent="0.3"/>
  <cols>
    <col min="1" max="1" width="17.6640625" style="79" bestFit="1" customWidth="1"/>
    <col min="2" max="2" width="30" style="79" bestFit="1" customWidth="1"/>
    <col min="3" max="3" width="22.5546875" style="79" customWidth="1"/>
    <col min="4" max="4" width="16.44140625" style="79" bestFit="1" customWidth="1"/>
    <col min="5" max="5" width="14.6640625" style="79" bestFit="1" customWidth="1"/>
    <col min="6" max="6" width="11" style="79" bestFit="1" customWidth="1"/>
    <col min="7" max="8" width="9.33203125" style="79" customWidth="1"/>
    <col min="9" max="9" width="16.6640625" style="79" customWidth="1"/>
    <col min="10" max="10" width="11.33203125" style="79" customWidth="1"/>
    <col min="11" max="12" width="9.33203125" style="79" customWidth="1"/>
    <col min="13" max="13" width="63.5546875" style="79" customWidth="1"/>
    <col min="14" max="14" width="14.33203125" style="79" bestFit="1" customWidth="1"/>
    <col min="15" max="15" width="14" style="79" bestFit="1" customWidth="1"/>
    <col min="16" max="16" width="9.44140625" style="79" bestFit="1" customWidth="1"/>
    <col min="17" max="17" width="26.5546875" style="79" customWidth="1"/>
    <col min="18" max="21" width="9.44140625" style="79" customWidth="1"/>
    <col min="22" max="27" width="9.33203125" style="79"/>
    <col min="28" max="28" width="10.6640625" style="79" bestFit="1" customWidth="1"/>
    <col min="29" max="29" width="14" style="79" bestFit="1" customWidth="1"/>
    <col min="30" max="16384" width="9.33203125" style="79"/>
  </cols>
  <sheetData>
    <row r="1" spans="1:35" ht="69.75" customHeight="1" x14ac:dyDescent="0.3">
      <c r="C1" s="91" t="s">
        <v>97</v>
      </c>
      <c r="F1" s="92"/>
      <c r="G1" s="92"/>
      <c r="H1" s="93" t="s">
        <v>46</v>
      </c>
      <c r="I1" s="92"/>
      <c r="J1" s="92"/>
      <c r="K1" s="92"/>
      <c r="L1" s="92"/>
      <c r="M1" s="94"/>
      <c r="N1" s="347" t="s">
        <v>98</v>
      </c>
      <c r="O1" s="347"/>
      <c r="R1" s="347" t="s">
        <v>99</v>
      </c>
      <c r="S1" s="347"/>
    </row>
    <row r="2" spans="1:35" ht="42" customHeight="1" x14ac:dyDescent="0.3">
      <c r="C2" s="78"/>
      <c r="D2" s="78"/>
      <c r="G2" s="92"/>
      <c r="H2" s="95" t="s">
        <v>24</v>
      </c>
      <c r="M2" s="77" t="e">
        <f>IF(N4=D3,1,IF(N5=D3,2,IF(N6=D3,3,IF(N7=D3,4,IF(N8=D3,5,IF(N9=D3,6,IF(N10=D3,7,"")))))))</f>
        <v>#REF!</v>
      </c>
      <c r="N2" s="78" t="e">
        <f>VLOOKUP(M2,M4:O10,2)</f>
        <v>#REF!</v>
      </c>
      <c r="O2" s="78" t="e">
        <f>VLOOKUP(M2,M4:O10,3)</f>
        <v>#REF!</v>
      </c>
      <c r="Q2" s="77" t="str">
        <f>IF(R4=D47,1,IF(R5=D47,2,IF(R6=D47,3,IF(R7=D47,4,IF(R8=D47,5,IF(R9=D47,6,IF(R10=D47,7,"")))))))</f>
        <v/>
      </c>
      <c r="R2" s="79" t="e">
        <f>VLOOKUP(Q2,Q4:S10,2)</f>
        <v>#N/A</v>
      </c>
      <c r="S2" s="79" t="e">
        <f>VLOOKUP(Q2,Q4:S10,3)</f>
        <v>#N/A</v>
      </c>
      <c r="AB2" s="78" t="s">
        <v>84</v>
      </c>
      <c r="AC2" s="78">
        <v>0.01</v>
      </c>
    </row>
    <row r="3" spans="1:35" ht="15" customHeight="1" x14ac:dyDescent="0.3">
      <c r="A3" s="79" t="s">
        <v>100</v>
      </c>
      <c r="C3" s="79" t="s">
        <v>82</v>
      </c>
      <c r="D3" s="79" t="e">
        <f>VLOOKUP(E3,E95:G104,3,FALSE)</f>
        <v>#REF!</v>
      </c>
      <c r="E3" s="79" t="e">
        <f>'Optimering af klimaskærm'!#REF!</f>
        <v>#REF!</v>
      </c>
      <c r="F3" s="96" t="e">
        <f>O2</f>
        <v>#REF!</v>
      </c>
      <c r="G3" s="92"/>
    </row>
    <row r="4" spans="1:35" ht="15" customHeight="1" x14ac:dyDescent="0.3">
      <c r="A4" s="83" t="e">
        <f>IF(#REF!&lt;&gt;1,"Fejl",VLOOKUP(1,#REF!,4,FALSE))</f>
        <v>#REF!</v>
      </c>
      <c r="C4" s="79" t="s">
        <v>84</v>
      </c>
      <c r="D4" s="86" t="e">
        <f>'Optimering af klimaskærm'!#REF!</f>
        <v>#REF!</v>
      </c>
      <c r="F4" s="97" t="e">
        <f xml:space="preserve"> 0.0043*LN(D4) + 0.93</f>
        <v>#REF!</v>
      </c>
      <c r="G4" s="92"/>
      <c r="M4" s="79">
        <v>1</v>
      </c>
      <c r="N4" s="79" t="s">
        <v>74</v>
      </c>
      <c r="O4" s="80" t="e">
        <f ca="1">O12</f>
        <v>#REF!</v>
      </c>
      <c r="Q4" s="79">
        <v>1</v>
      </c>
      <c r="R4" s="79" t="s">
        <v>74</v>
      </c>
      <c r="S4" s="80">
        <f ca="1">S12</f>
        <v>0.99039999999999995</v>
      </c>
      <c r="AB4" s="79">
        <v>1000</v>
      </c>
      <c r="AC4" s="80">
        <v>0.96</v>
      </c>
    </row>
    <row r="5" spans="1:35" ht="15" customHeight="1" x14ac:dyDescent="0.3">
      <c r="A5" s="83"/>
      <c r="C5" s="79" t="s">
        <v>83</v>
      </c>
      <c r="D5" s="86" t="e">
        <f ca="1">C17-'Optimering af klimaskærm'!#REF!</f>
        <v>#REF!</v>
      </c>
      <c r="F5" s="92"/>
      <c r="G5" s="92"/>
      <c r="K5" s="98" t="e">
        <f>IF(N4=E3,1,IF(N5=E3,2,IF(N6=E3,3,IF(N7=E3,4,IF(N8=E3,5,"")))))</f>
        <v>#REF!</v>
      </c>
      <c r="M5" s="79">
        <v>2</v>
      </c>
      <c r="N5" s="79" t="s">
        <v>76</v>
      </c>
      <c r="O5" s="80" t="e">
        <f ca="1">O21</f>
        <v>#REF!</v>
      </c>
      <c r="Q5" s="79">
        <v>2</v>
      </c>
      <c r="R5" s="79" t="s">
        <v>76</v>
      </c>
      <c r="S5" s="80">
        <f ca="1">S21</f>
        <v>0.98519999999999996</v>
      </c>
      <c r="AB5" s="79">
        <v>100</v>
      </c>
      <c r="AC5" s="80">
        <f>AC4-AC2</f>
        <v>0.95</v>
      </c>
    </row>
    <row r="6" spans="1:35" ht="15" customHeight="1" x14ac:dyDescent="0.3">
      <c r="A6" s="83"/>
      <c r="C6" s="79" t="s">
        <v>101</v>
      </c>
      <c r="D6" s="86" t="e">
        <f>'VG opslag'!C91/100</f>
        <v>#REF!</v>
      </c>
      <c r="G6" s="92"/>
      <c r="H6" s="92"/>
      <c r="I6" s="92"/>
      <c r="J6" s="92"/>
      <c r="K6" s="92"/>
      <c r="L6" s="92"/>
      <c r="M6" s="79">
        <v>3</v>
      </c>
      <c r="N6" s="79" t="s">
        <v>79</v>
      </c>
      <c r="O6" s="80" t="e">
        <f ca="1">O30</f>
        <v>#REF!</v>
      </c>
      <c r="Q6" s="79">
        <v>3</v>
      </c>
      <c r="R6" s="79" t="s">
        <v>79</v>
      </c>
      <c r="S6" s="80">
        <f ca="1">S30</f>
        <v>0.96550000000000002</v>
      </c>
      <c r="AB6" s="79">
        <v>10</v>
      </c>
      <c r="AC6" s="80">
        <f>AC5-AC2</f>
        <v>0.94</v>
      </c>
    </row>
    <row r="7" spans="1:35" ht="15" customHeight="1" x14ac:dyDescent="0.3">
      <c r="A7" s="83"/>
      <c r="D7" s="86"/>
      <c r="G7" s="92"/>
      <c r="H7" s="92"/>
      <c r="I7" s="92"/>
      <c r="J7" s="92"/>
      <c r="K7" s="92"/>
      <c r="L7" s="92"/>
      <c r="M7" s="79">
        <v>4</v>
      </c>
      <c r="N7" s="79" t="s">
        <v>78</v>
      </c>
      <c r="O7" s="80" t="e">
        <f ca="1">O39</f>
        <v>#REF!</v>
      </c>
      <c r="Q7" s="79">
        <v>4</v>
      </c>
      <c r="R7" s="79" t="s">
        <v>78</v>
      </c>
      <c r="S7" s="80">
        <f ca="1">S39</f>
        <v>0.92679999999999996</v>
      </c>
    </row>
    <row r="8" spans="1:35" ht="15" customHeight="1" x14ac:dyDescent="0.3">
      <c r="A8" s="83"/>
      <c r="C8" s="84" t="s">
        <v>90</v>
      </c>
      <c r="D8" s="85" t="e">
        <f>F3</f>
        <v>#REF!</v>
      </c>
      <c r="H8" s="92"/>
      <c r="I8" s="92"/>
      <c r="J8" s="92"/>
      <c r="K8" s="92"/>
      <c r="L8" s="92"/>
      <c r="M8" s="79">
        <v>5</v>
      </c>
      <c r="N8" s="79" t="s">
        <v>57</v>
      </c>
      <c r="O8" s="80" t="e">
        <f ca="1">O48</f>
        <v>#REF!</v>
      </c>
      <c r="Q8" s="79">
        <v>5</v>
      </c>
      <c r="R8" s="79" t="s">
        <v>57</v>
      </c>
      <c r="S8" s="80">
        <f ca="1">S48</f>
        <v>0.97</v>
      </c>
    </row>
    <row r="9" spans="1:35" ht="15" customHeight="1" x14ac:dyDescent="0.3">
      <c r="C9" s="79" t="s">
        <v>89</v>
      </c>
      <c r="D9" s="86" t="e">
        <f>D6*D8</f>
        <v>#REF!</v>
      </c>
      <c r="G9" s="92"/>
      <c r="H9" s="92"/>
      <c r="I9" s="92"/>
      <c r="J9" s="92"/>
      <c r="K9" s="92"/>
      <c r="L9" s="92"/>
      <c r="M9" s="79">
        <v>6</v>
      </c>
      <c r="N9" s="79" t="s">
        <v>65</v>
      </c>
      <c r="O9" s="80" t="e">
        <f ca="1">O57</f>
        <v>#REF!</v>
      </c>
      <c r="Q9" s="79">
        <v>6</v>
      </c>
      <c r="R9" s="79" t="s">
        <v>65</v>
      </c>
      <c r="S9" s="80">
        <f ca="1">S57</f>
        <v>0.99999998999999995</v>
      </c>
    </row>
    <row r="10" spans="1:35" ht="15" customHeight="1" x14ac:dyDescent="0.2">
      <c r="A10" s="81"/>
      <c r="C10" s="79" t="s">
        <v>88</v>
      </c>
      <c r="D10" s="86" t="e">
        <f>D6-D9</f>
        <v>#REF!</v>
      </c>
      <c r="G10" s="92"/>
      <c r="H10" s="92"/>
      <c r="I10" s="92"/>
      <c r="J10" s="92"/>
      <c r="K10" s="92"/>
      <c r="L10" s="92"/>
      <c r="M10" s="79">
        <v>7</v>
      </c>
      <c r="N10" s="79" t="s">
        <v>80</v>
      </c>
      <c r="O10" s="80" t="e">
        <f ca="1">O21</f>
        <v>#REF!</v>
      </c>
      <c r="Q10" s="79">
        <v>7</v>
      </c>
      <c r="R10" s="79" t="s">
        <v>102</v>
      </c>
      <c r="S10" s="80">
        <f ca="1">S21</f>
        <v>0.98519999999999996</v>
      </c>
    </row>
    <row r="11" spans="1:35" ht="15" customHeight="1" x14ac:dyDescent="0.2">
      <c r="A11" s="79" t="s">
        <v>100</v>
      </c>
      <c r="D11" s="86"/>
      <c r="M11" s="81"/>
    </row>
    <row r="12" spans="1:35" ht="15" customHeight="1" x14ac:dyDescent="0.3">
      <c r="A12" s="83" t="e">
        <f>IF(#REF!&lt;&gt;1,"Fejl",VLOOKUP(1,#REF!,4,FALSE))</f>
        <v>#REF!</v>
      </c>
      <c r="C12" s="84" t="s">
        <v>85</v>
      </c>
      <c r="D12" s="85" t="e">
        <f>F4</f>
        <v>#REF!</v>
      </c>
      <c r="H12" s="79" t="s">
        <v>74</v>
      </c>
      <c r="I12" s="79" t="s">
        <v>76</v>
      </c>
      <c r="J12" s="79" t="s">
        <v>79</v>
      </c>
      <c r="K12" s="79" t="s">
        <v>78</v>
      </c>
      <c r="N12" s="78" t="s">
        <v>74</v>
      </c>
      <c r="O12" s="78" t="e">
        <f ca="1">-0.062*LN(D5) + 0.9904</f>
        <v>#REF!</v>
      </c>
      <c r="R12" s="78" t="s">
        <v>74</v>
      </c>
      <c r="S12" s="78">
        <f ca="1">-0.062*LN(C17-D49+1) + 0.9904</f>
        <v>0.99039999999999995</v>
      </c>
    </row>
    <row r="13" spans="1:35" ht="15" customHeight="1" x14ac:dyDescent="0.3">
      <c r="C13" s="79" t="s">
        <v>86</v>
      </c>
      <c r="D13" s="86" t="e">
        <f>D6*D12</f>
        <v>#REF!</v>
      </c>
      <c r="G13" s="79">
        <v>1</v>
      </c>
      <c r="H13" s="79" t="e">
        <f>O14*$D$6/100</f>
        <v>#REF!</v>
      </c>
      <c r="I13" s="79" t="e">
        <f>O23*$D$6/100</f>
        <v>#REF!</v>
      </c>
      <c r="J13" s="79" t="e">
        <f>O32*$D$6/100</f>
        <v>#REF!</v>
      </c>
      <c r="K13" s="79" t="e">
        <f>O41*$D$6/100</f>
        <v>#REF!</v>
      </c>
    </row>
    <row r="14" spans="1:35" ht="15" customHeight="1" x14ac:dyDescent="0.3">
      <c r="C14" s="79" t="s">
        <v>87</v>
      </c>
      <c r="D14" s="86" t="e">
        <f>IF(F14=0,"",IF(F14&lt;50,50,F14))</f>
        <v>#REF!</v>
      </c>
      <c r="E14" s="79" t="s">
        <v>103</v>
      </c>
      <c r="F14" s="79" t="e">
        <f>D9*D12*100</f>
        <v>#REF!</v>
      </c>
      <c r="G14" s="79">
        <v>10</v>
      </c>
      <c r="H14" s="79" t="e">
        <f>O15*$D$6/100</f>
        <v>#REF!</v>
      </c>
      <c r="I14" s="79" t="e">
        <f>O24*$D$6/100</f>
        <v>#REF!</v>
      </c>
      <c r="J14" s="79" t="e">
        <f>O33*$D$6/100</f>
        <v>#REF!</v>
      </c>
      <c r="K14" s="79" t="e">
        <f>O42*$D$6/100</f>
        <v>#REF!</v>
      </c>
      <c r="N14" s="79">
        <v>1</v>
      </c>
      <c r="O14" s="80">
        <v>0.99</v>
      </c>
      <c r="R14" s="79">
        <v>1</v>
      </c>
      <c r="S14" s="80">
        <v>0.99</v>
      </c>
    </row>
    <row r="15" spans="1:35" ht="15" customHeight="1" x14ac:dyDescent="0.3">
      <c r="C15" s="79" t="s">
        <v>88</v>
      </c>
      <c r="D15" s="86" t="e">
        <f>D13-D14/100</f>
        <v>#REF!</v>
      </c>
      <c r="G15" s="79">
        <v>30</v>
      </c>
      <c r="H15" s="79" t="e">
        <f>O16*$D$6/100</f>
        <v>#REF!</v>
      </c>
      <c r="I15" s="79" t="e">
        <f>O25*$D$6/100</f>
        <v>#REF!</v>
      </c>
      <c r="J15" s="79" t="e">
        <f>O34*$D$6/100</f>
        <v>#REF!</v>
      </c>
      <c r="K15" s="79" t="e">
        <f>O43*$D$6/100</f>
        <v>#REF!</v>
      </c>
      <c r="N15" s="79">
        <v>10</v>
      </c>
      <c r="O15" s="80">
        <v>0.85</v>
      </c>
      <c r="R15" s="79">
        <v>10</v>
      </c>
      <c r="S15" s="80">
        <v>0.85</v>
      </c>
    </row>
    <row r="16" spans="1:35" s="81" customFormat="1" ht="15" customHeight="1" x14ac:dyDescent="0.2">
      <c r="A16" s="79"/>
      <c r="B16" s="79"/>
      <c r="C16" s="79"/>
      <c r="D16" s="79"/>
      <c r="E16" s="79"/>
      <c r="F16" s="79"/>
      <c r="G16" s="79"/>
      <c r="H16" s="79"/>
      <c r="I16" s="79"/>
      <c r="J16" s="79"/>
      <c r="K16" s="79"/>
      <c r="L16" s="79"/>
      <c r="M16" s="79"/>
      <c r="N16" s="79">
        <v>30</v>
      </c>
      <c r="O16" s="80">
        <v>0.78</v>
      </c>
      <c r="P16" s="79"/>
      <c r="Q16" s="79"/>
      <c r="R16" s="79">
        <v>30</v>
      </c>
      <c r="S16" s="80">
        <v>0.78</v>
      </c>
      <c r="T16" s="79"/>
      <c r="U16" s="79"/>
      <c r="V16" s="79"/>
      <c r="W16" s="79"/>
      <c r="X16" s="79"/>
      <c r="Y16" s="79"/>
      <c r="Z16" s="79"/>
      <c r="AA16" s="79"/>
      <c r="AB16" s="79"/>
      <c r="AC16" s="79"/>
      <c r="AD16" s="79"/>
      <c r="AE16" s="79"/>
      <c r="AF16" s="79"/>
      <c r="AG16" s="79"/>
      <c r="AH16" s="79"/>
      <c r="AI16" s="79"/>
    </row>
    <row r="17" spans="1:35" s="81" customFormat="1" ht="15" customHeight="1" x14ac:dyDescent="0.2">
      <c r="A17" s="79"/>
      <c r="B17" s="79"/>
      <c r="C17" s="99">
        <f ca="1">YEAR(TODAY())</f>
        <v>2023</v>
      </c>
      <c r="D17" s="79">
        <f ca="1">C17-3</f>
        <v>2020</v>
      </c>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row>
    <row r="18" spans="1:35" s="81" customFormat="1" ht="15" customHeight="1" x14ac:dyDescent="0.2">
      <c r="A18" s="79"/>
      <c r="B18" s="79"/>
      <c r="C18" s="79"/>
      <c r="D18" s="79"/>
      <c r="E18" s="79"/>
      <c r="F18" s="79"/>
      <c r="G18" s="79"/>
      <c r="H18" s="79"/>
      <c r="I18" s="79"/>
      <c r="J18" s="79"/>
      <c r="K18" s="79"/>
      <c r="L18" s="79"/>
      <c r="N18" s="79"/>
      <c r="O18" s="79"/>
      <c r="P18" s="79"/>
      <c r="Q18" s="79"/>
      <c r="R18" s="79"/>
      <c r="S18" s="79"/>
      <c r="T18" s="79"/>
      <c r="U18" s="79"/>
      <c r="V18" s="79"/>
      <c r="W18" s="79"/>
      <c r="X18" s="79"/>
      <c r="Y18" s="79"/>
      <c r="Z18" s="79"/>
      <c r="AA18" s="79"/>
      <c r="AB18" s="79"/>
      <c r="AC18" s="79"/>
      <c r="AD18" s="79"/>
      <c r="AE18" s="79"/>
      <c r="AF18" s="79"/>
      <c r="AG18" s="79"/>
      <c r="AH18" s="79"/>
      <c r="AI18" s="79"/>
    </row>
    <row r="19" spans="1:35" ht="15" customHeight="1" x14ac:dyDescent="0.2">
      <c r="M19" s="81"/>
    </row>
    <row r="20" spans="1:35" ht="15" customHeight="1" x14ac:dyDescent="0.2">
      <c r="M20" s="81"/>
    </row>
    <row r="21" spans="1:35" ht="15" customHeight="1" x14ac:dyDescent="0.3">
      <c r="N21" s="78" t="s">
        <v>76</v>
      </c>
      <c r="O21" s="78" t="e">
        <f ca="1" xml:space="preserve"> -0.067*LN(D5) + 0.9852</f>
        <v>#REF!</v>
      </c>
      <c r="R21" s="78" t="s">
        <v>76</v>
      </c>
      <c r="S21" s="78">
        <f ca="1" xml:space="preserve"> -0.067*LN(C17-D49+1) + 0.9852</f>
        <v>0.98519999999999996</v>
      </c>
    </row>
    <row r="23" spans="1:35" ht="15" customHeight="1" x14ac:dyDescent="0.3">
      <c r="N23" s="79">
        <v>1</v>
      </c>
      <c r="O23" s="80">
        <v>0.98504999999999998</v>
      </c>
      <c r="R23" s="79">
        <v>1</v>
      </c>
      <c r="S23" s="80">
        <v>0.98504999999999998</v>
      </c>
    </row>
    <row r="24" spans="1:35" ht="15" customHeight="1" x14ac:dyDescent="0.3">
      <c r="N24" s="79">
        <v>10</v>
      </c>
      <c r="O24" s="80">
        <v>0.83129999999999993</v>
      </c>
      <c r="R24" s="79">
        <v>10</v>
      </c>
      <c r="S24" s="80">
        <v>0.83129999999999993</v>
      </c>
    </row>
    <row r="25" spans="1:35" ht="15" customHeight="1" x14ac:dyDescent="0.3">
      <c r="N25" s="79">
        <v>30</v>
      </c>
      <c r="O25" s="80">
        <v>0.75660000000000005</v>
      </c>
      <c r="R25" s="79">
        <v>30</v>
      </c>
      <c r="S25" s="80">
        <v>0.75660000000000005</v>
      </c>
    </row>
    <row r="30" spans="1:35" ht="15" customHeight="1" x14ac:dyDescent="0.3">
      <c r="N30" s="82" t="s">
        <v>79</v>
      </c>
      <c r="O30" s="78" t="e">
        <f ca="1">-0.066*LN(D5) + 0.9655</f>
        <v>#REF!</v>
      </c>
      <c r="P30" s="79">
        <v>0.98</v>
      </c>
      <c r="R30" s="82" t="s">
        <v>79</v>
      </c>
      <c r="S30" s="78">
        <f ca="1">-0.066*LN(C17-D49+1) + 0.9655</f>
        <v>0.96550000000000002</v>
      </c>
    </row>
    <row r="32" spans="1:35" ht="15" customHeight="1" x14ac:dyDescent="0.3">
      <c r="N32" s="79">
        <v>1</v>
      </c>
      <c r="O32" s="80">
        <f>O23*$P$30</f>
        <v>0.96534900000000001</v>
      </c>
      <c r="R32" s="79">
        <v>1</v>
      </c>
      <c r="S32" s="80">
        <f>S23*$P$30</f>
        <v>0.96534900000000001</v>
      </c>
    </row>
    <row r="33" spans="3:19" ht="15" customHeight="1" x14ac:dyDescent="0.3">
      <c r="N33" s="79">
        <v>10</v>
      </c>
      <c r="O33" s="80">
        <f>O24*$P$30</f>
        <v>0.8146739999999999</v>
      </c>
      <c r="R33" s="79">
        <v>10</v>
      </c>
      <c r="S33" s="80">
        <f>S24*$P$30</f>
        <v>0.8146739999999999</v>
      </c>
    </row>
    <row r="34" spans="3:19" ht="15" customHeight="1" x14ac:dyDescent="0.3">
      <c r="N34" s="79">
        <v>30</v>
      </c>
      <c r="O34" s="80">
        <f>O25*$P$30</f>
        <v>0.74146800000000002</v>
      </c>
      <c r="R34" s="79">
        <v>30</v>
      </c>
      <c r="S34" s="80">
        <f>S25*$P$30</f>
        <v>0.74146800000000002</v>
      </c>
    </row>
    <row r="35" spans="3:19" ht="15" customHeight="1" x14ac:dyDescent="0.3">
      <c r="M35" s="83"/>
    </row>
    <row r="39" spans="3:19" ht="15" customHeight="1" x14ac:dyDescent="0.3">
      <c r="N39" s="78" t="s">
        <v>78</v>
      </c>
      <c r="O39" s="78" t="e">
        <f ca="1">-0.074*LN(D5) + 0.9268</f>
        <v>#REF!</v>
      </c>
      <c r="P39" s="79">
        <v>0.95</v>
      </c>
      <c r="R39" s="78" t="s">
        <v>78</v>
      </c>
      <c r="S39" s="78">
        <f ca="1">-0.074*LN(C17-D49+1) + 0.9268</f>
        <v>0.92679999999999996</v>
      </c>
    </row>
    <row r="41" spans="3:19" ht="15" customHeight="1" x14ac:dyDescent="0.3">
      <c r="N41" s="79">
        <v>1</v>
      </c>
      <c r="O41" s="80">
        <v>0.92643952499999993</v>
      </c>
      <c r="R41" s="79">
        <v>1</v>
      </c>
      <c r="S41" s="80">
        <v>0.92643952499999993</v>
      </c>
    </row>
    <row r="42" spans="3:19" ht="15" customHeight="1" x14ac:dyDescent="0.3">
      <c r="N42" s="79">
        <v>10</v>
      </c>
      <c r="O42" s="80">
        <v>0.75649999999999995</v>
      </c>
      <c r="R42" s="79">
        <v>10</v>
      </c>
      <c r="S42" s="80">
        <v>0.75649999999999995</v>
      </c>
    </row>
    <row r="43" spans="3:19" ht="15" customHeight="1" x14ac:dyDescent="0.3">
      <c r="N43" s="79">
        <v>30</v>
      </c>
      <c r="O43" s="80">
        <v>0.67313999999999996</v>
      </c>
      <c r="R43" s="79">
        <v>30</v>
      </c>
      <c r="S43" s="80">
        <v>0.67313999999999996</v>
      </c>
    </row>
    <row r="44" spans="3:19" ht="15" customHeight="1" x14ac:dyDescent="0.3">
      <c r="C44" s="91" t="s">
        <v>104</v>
      </c>
    </row>
    <row r="46" spans="3:19" ht="25.5" customHeight="1" x14ac:dyDescent="0.3">
      <c r="C46" s="78"/>
      <c r="D46" s="78"/>
    </row>
    <row r="47" spans="3:19" ht="15" customHeight="1" x14ac:dyDescent="0.3">
      <c r="C47" s="79" t="s">
        <v>82</v>
      </c>
      <c r="D47" s="79" t="str">
        <f>IF(OR('[1]Tiltag 1'!G34="Fyringsolie",'[1]Tiltag 1'!G34="Heavy Fuel Oil"),"Olie",E47)</f>
        <v>Varmepumpe</v>
      </c>
      <c r="E47" s="79" t="str">
        <f>'[1]Tiltag 1'!G34</f>
        <v>Varmepumpe</v>
      </c>
      <c r="F47" s="100" t="e">
        <f>S2</f>
        <v>#N/A</v>
      </c>
    </row>
    <row r="48" spans="3:19" ht="15" customHeight="1" x14ac:dyDescent="0.3">
      <c r="C48" s="79" t="s">
        <v>84</v>
      </c>
      <c r="D48" s="79">
        <f>'[1]Tiltag 1'!G19</f>
        <v>225</v>
      </c>
      <c r="F48" s="101">
        <f xml:space="preserve"> 0.0043*LN(D48) + 0.93</f>
        <v>0.9532892317294791</v>
      </c>
      <c r="N48" s="78" t="s">
        <v>57</v>
      </c>
      <c r="O48" s="78" t="e">
        <f ca="1">-0.062*LN(D5) + 0.97</f>
        <v>#REF!</v>
      </c>
      <c r="P48" s="79">
        <v>0.95</v>
      </c>
      <c r="R48" s="78" t="s">
        <v>57</v>
      </c>
      <c r="S48" s="78">
        <f ca="1">-0.062*LN(C17-D49+1) + 0.97</f>
        <v>0.97</v>
      </c>
    </row>
    <row r="49" spans="3:19" ht="15" customHeight="1" x14ac:dyDescent="0.3">
      <c r="C49" s="79" t="s">
        <v>83</v>
      </c>
      <c r="D49" s="79">
        <f ca="1">C17</f>
        <v>2023</v>
      </c>
    </row>
    <row r="50" spans="3:19" ht="15" customHeight="1" x14ac:dyDescent="0.3">
      <c r="C50" s="79" t="s">
        <v>101</v>
      </c>
      <c r="D50" s="79">
        <f>'[1]Tiltag 1'!G36</f>
        <v>0</v>
      </c>
      <c r="N50" s="79">
        <v>1</v>
      </c>
      <c r="O50" s="80">
        <v>0.92643952499999993</v>
      </c>
      <c r="R50" s="79">
        <v>1</v>
      </c>
      <c r="S50" s="80">
        <v>0.92643952499999993</v>
      </c>
    </row>
    <row r="51" spans="3:19" ht="15" customHeight="1" x14ac:dyDescent="0.3">
      <c r="N51" s="79">
        <v>10</v>
      </c>
      <c r="O51" s="80">
        <v>0.75649999999999995</v>
      </c>
      <c r="R51" s="79">
        <v>10</v>
      </c>
      <c r="S51" s="80">
        <v>0.75649999999999995</v>
      </c>
    </row>
    <row r="52" spans="3:19" ht="15" customHeight="1" x14ac:dyDescent="0.3">
      <c r="N52" s="79">
        <v>30</v>
      </c>
      <c r="O52" s="80">
        <v>0.67313999999999996</v>
      </c>
      <c r="R52" s="79">
        <v>30</v>
      </c>
      <c r="S52" s="80">
        <v>0.67313999999999996</v>
      </c>
    </row>
    <row r="53" spans="3:19" ht="15" customHeight="1" x14ac:dyDescent="0.3">
      <c r="C53" s="84" t="s">
        <v>90</v>
      </c>
      <c r="D53" s="79" t="e">
        <f>F47</f>
        <v>#N/A</v>
      </c>
    </row>
    <row r="54" spans="3:19" ht="15" customHeight="1" x14ac:dyDescent="0.3">
      <c r="C54" s="79" t="s">
        <v>89</v>
      </c>
      <c r="D54" s="79" t="e">
        <f>D50*D53</f>
        <v>#N/A</v>
      </c>
    </row>
    <row r="55" spans="3:19" ht="15" customHeight="1" x14ac:dyDescent="0.3">
      <c r="C55" s="79" t="s">
        <v>88</v>
      </c>
      <c r="D55" s="79" t="e">
        <f>D50-D54</f>
        <v>#N/A</v>
      </c>
      <c r="E55" s="79" t="str">
        <f>IF(OR('[1]Tiltag 1'!G34="Fyringsolie",'[1]Tiltag 1'!G34="Heavy Fuel Oil"),"Olie",'[1]Tiltag 1'!G17)</f>
        <v>Oliekedel</v>
      </c>
    </row>
    <row r="57" spans="3:19" ht="15" customHeight="1" x14ac:dyDescent="0.3">
      <c r="C57" s="84" t="s">
        <v>85</v>
      </c>
      <c r="D57" s="79">
        <f>F48</f>
        <v>0.9532892317294791</v>
      </c>
      <c r="N57" s="78" t="s">
        <v>105</v>
      </c>
      <c r="O57" s="78" t="e">
        <f ca="1">-0.065*LN(D5) + 0.99999999</f>
        <v>#REF!</v>
      </c>
      <c r="R57" s="78" t="s">
        <v>105</v>
      </c>
      <c r="S57" s="78">
        <f ca="1">-0.065*LN(C17-D49+1) + 0.99999999</f>
        <v>0.99999998999999995</v>
      </c>
    </row>
    <row r="58" spans="3:19" ht="15" customHeight="1" x14ac:dyDescent="0.3">
      <c r="C58" s="79" t="s">
        <v>86</v>
      </c>
      <c r="D58" s="79">
        <f>D50*F48</f>
        <v>0</v>
      </c>
    </row>
    <row r="59" spans="3:19" ht="15" customHeight="1" x14ac:dyDescent="0.3">
      <c r="C59" s="79" t="s">
        <v>87</v>
      </c>
      <c r="D59" s="79" t="e">
        <f>D57*D54</f>
        <v>#N/A</v>
      </c>
      <c r="N59" s="79">
        <v>1</v>
      </c>
      <c r="O59" s="80">
        <v>0.92643952499999993</v>
      </c>
      <c r="R59" s="79">
        <v>1</v>
      </c>
      <c r="S59" s="80">
        <v>0.92643952499999993</v>
      </c>
    </row>
    <row r="60" spans="3:19" ht="15" customHeight="1" x14ac:dyDescent="0.3">
      <c r="C60" s="79" t="s">
        <v>88</v>
      </c>
      <c r="D60" s="79" t="e">
        <f>D58-D59</f>
        <v>#N/A</v>
      </c>
      <c r="N60" s="79">
        <v>10</v>
      </c>
      <c r="O60" s="80">
        <v>0.75649999999999995</v>
      </c>
      <c r="R60" s="79">
        <v>10</v>
      </c>
      <c r="S60" s="80">
        <v>0.75649999999999995</v>
      </c>
    </row>
    <row r="61" spans="3:19" ht="15" customHeight="1" x14ac:dyDescent="0.3">
      <c r="N61" s="79">
        <v>30</v>
      </c>
      <c r="O61" s="80">
        <v>0.67313999999999996</v>
      </c>
      <c r="R61" s="79">
        <v>30</v>
      </c>
      <c r="S61" s="80">
        <v>0.67313999999999996</v>
      </c>
    </row>
    <row r="64" spans="3:19" ht="15" customHeight="1" x14ac:dyDescent="0.3">
      <c r="N64" s="78" t="s">
        <v>80</v>
      </c>
      <c r="O64" s="78" t="e">
        <f ca="1" xml:space="preserve"> -0.067*LN(D5) + 0.9852</f>
        <v>#REF!</v>
      </c>
    </row>
    <row r="66" spans="2:15" ht="15" customHeight="1" x14ac:dyDescent="0.3">
      <c r="C66" s="102"/>
      <c r="N66" s="79">
        <v>1</v>
      </c>
      <c r="O66" s="80">
        <f xml:space="preserve"> -0.067*LN(1) + 0.9852</f>
        <v>0.98519999999999996</v>
      </c>
    </row>
    <row r="67" spans="2:15" ht="15" customHeight="1" x14ac:dyDescent="0.3">
      <c r="C67" s="103"/>
      <c r="N67" s="79">
        <v>10</v>
      </c>
      <c r="O67" s="80">
        <f xml:space="preserve"> -0.067*LN(10) + 0.9852</f>
        <v>0.8309267987693989</v>
      </c>
    </row>
    <row r="68" spans="2:15" ht="15" customHeight="1" x14ac:dyDescent="0.3">
      <c r="N68" s="79">
        <v>30</v>
      </c>
      <c r="O68" s="80">
        <f xml:space="preserve"> -0.067*LN(30) + 0.9852</f>
        <v>0.7573197754286356</v>
      </c>
    </row>
    <row r="69" spans="2:15" ht="15" customHeight="1" x14ac:dyDescent="0.3">
      <c r="B69" s="345"/>
      <c r="C69" s="346"/>
      <c r="D69" s="104"/>
    </row>
    <row r="70" spans="2:15" ht="15" customHeight="1" x14ac:dyDescent="0.3">
      <c r="B70" s="105"/>
      <c r="C70" s="106"/>
      <c r="D70" s="107"/>
      <c r="E70" s="348" t="s">
        <v>106</v>
      </c>
      <c r="F70" s="349"/>
      <c r="G70" s="350"/>
      <c r="H70" s="108"/>
      <c r="I70" s="108"/>
      <c r="J70" s="109"/>
      <c r="K70" s="108"/>
      <c r="L70" s="108"/>
      <c r="M70" s="108"/>
    </row>
    <row r="71" spans="2:15" ht="15" customHeight="1" x14ac:dyDescent="0.3">
      <c r="B71" s="105"/>
      <c r="C71" s="110"/>
      <c r="D71" s="107"/>
      <c r="E71" s="111" t="s">
        <v>65</v>
      </c>
      <c r="F71" s="112">
        <v>11</v>
      </c>
      <c r="G71" s="113" t="s">
        <v>107</v>
      </c>
      <c r="H71" s="114" t="s">
        <v>108</v>
      </c>
      <c r="I71" s="108"/>
      <c r="J71" s="109"/>
      <c r="K71" s="108"/>
      <c r="L71" s="108"/>
      <c r="M71" s="108"/>
    </row>
    <row r="72" spans="2:15" ht="15" customHeight="1" x14ac:dyDescent="0.3">
      <c r="B72" s="105"/>
      <c r="C72" s="106"/>
      <c r="D72" s="107"/>
      <c r="E72" s="111" t="s">
        <v>109</v>
      </c>
      <c r="F72" s="112">
        <v>9.8699999999999992</v>
      </c>
      <c r="G72" s="113" t="s">
        <v>110</v>
      </c>
      <c r="H72" s="114" t="s">
        <v>108</v>
      </c>
      <c r="I72" s="108"/>
      <c r="J72" s="109"/>
      <c r="K72" s="108"/>
      <c r="L72" s="108"/>
      <c r="M72" s="108"/>
    </row>
    <row r="73" spans="2:15" ht="15" customHeight="1" x14ac:dyDescent="0.3">
      <c r="B73" s="105"/>
      <c r="C73" s="106"/>
      <c r="D73" s="107"/>
      <c r="E73" s="111" t="s">
        <v>111</v>
      </c>
      <c r="F73" s="112">
        <v>3.83</v>
      </c>
      <c r="G73" s="113" t="s">
        <v>112</v>
      </c>
      <c r="H73" s="114" t="s">
        <v>108</v>
      </c>
      <c r="I73" s="108"/>
      <c r="J73" s="109"/>
      <c r="K73" s="108"/>
      <c r="L73" s="108"/>
      <c r="M73" s="108"/>
    </row>
    <row r="74" spans="2:15" ht="15" customHeight="1" x14ac:dyDescent="0.3">
      <c r="B74" s="105"/>
      <c r="C74" s="106"/>
      <c r="D74" s="107"/>
      <c r="E74" s="111" t="s">
        <v>113</v>
      </c>
      <c r="F74" s="112">
        <v>4.67</v>
      </c>
      <c r="G74" s="113" t="s">
        <v>112</v>
      </c>
      <c r="H74" s="114" t="s">
        <v>108</v>
      </c>
      <c r="I74" s="108"/>
      <c r="J74" s="109"/>
      <c r="K74" s="108"/>
      <c r="L74" s="108"/>
      <c r="M74" s="108"/>
    </row>
    <row r="75" spans="2:15" ht="15" customHeight="1" x14ac:dyDescent="0.3">
      <c r="B75" s="105"/>
      <c r="C75" s="106"/>
      <c r="D75" s="107"/>
      <c r="E75" s="111" t="s">
        <v>114</v>
      </c>
      <c r="F75" s="115">
        <f>J82</f>
        <v>6.6150000000000002</v>
      </c>
      <c r="G75" s="113" t="s">
        <v>112</v>
      </c>
      <c r="H75" s="114" t="s">
        <v>108</v>
      </c>
      <c r="I75" s="108"/>
      <c r="J75" s="109"/>
      <c r="K75" s="108"/>
      <c r="L75" s="108"/>
      <c r="M75" s="108"/>
    </row>
    <row r="76" spans="2:15" ht="15" customHeight="1" x14ac:dyDescent="0.3">
      <c r="B76" s="105"/>
      <c r="C76" s="106"/>
      <c r="D76" s="107"/>
      <c r="E76" s="111" t="s">
        <v>115</v>
      </c>
      <c r="F76" s="112">
        <v>7.92</v>
      </c>
      <c r="G76" s="113" t="s">
        <v>112</v>
      </c>
      <c r="H76" s="114" t="s">
        <v>108</v>
      </c>
      <c r="I76" s="108"/>
      <c r="J76" s="108"/>
      <c r="K76" s="108"/>
      <c r="L76" s="108"/>
      <c r="M76" s="108"/>
    </row>
    <row r="77" spans="2:15" ht="15" customHeight="1" x14ac:dyDescent="0.2">
      <c r="B77" s="116"/>
      <c r="C77" s="117"/>
      <c r="D77" s="118"/>
      <c r="E77" s="111" t="s">
        <v>116</v>
      </c>
      <c r="F77" s="112">
        <v>10.89</v>
      </c>
      <c r="G77" s="113" t="s">
        <v>110</v>
      </c>
    </row>
    <row r="78" spans="2:15" ht="15" customHeight="1" x14ac:dyDescent="0.2">
      <c r="E78" s="119" t="s">
        <v>78</v>
      </c>
      <c r="F78" s="120">
        <f>14.5*1000/3600</f>
        <v>4.0277777777777777</v>
      </c>
      <c r="G78" s="121" t="s">
        <v>112</v>
      </c>
      <c r="I78" s="79" t="s">
        <v>117</v>
      </c>
    </row>
    <row r="79" spans="2:15" ht="15" customHeight="1" x14ac:dyDescent="0.3">
      <c r="I79" s="79" t="s">
        <v>115</v>
      </c>
      <c r="J79" s="79">
        <v>7.92</v>
      </c>
    </row>
    <row r="80" spans="2:15" ht="15" customHeight="1" x14ac:dyDescent="0.3">
      <c r="B80" s="345"/>
      <c r="C80" s="346"/>
      <c r="D80" s="104"/>
      <c r="I80" s="79" t="s">
        <v>118</v>
      </c>
      <c r="J80" s="79">
        <v>4.7</v>
      </c>
    </row>
    <row r="81" spans="2:14" ht="15" customHeight="1" x14ac:dyDescent="0.2">
      <c r="B81" s="105"/>
      <c r="C81" s="106"/>
      <c r="D81" s="107"/>
      <c r="I81" s="79" t="s">
        <v>119</v>
      </c>
      <c r="J81" s="79">
        <v>8.5299999999999994</v>
      </c>
      <c r="M81" s="111" t="s">
        <v>65</v>
      </c>
      <c r="N81" s="79" t="str">
        <f>LOWER(M81)</f>
        <v>naturgas</v>
      </c>
    </row>
    <row r="82" spans="2:14" ht="15" customHeight="1" x14ac:dyDescent="0.2">
      <c r="B82" s="105"/>
      <c r="C82" s="106"/>
      <c r="D82" s="107"/>
      <c r="E82" s="122" t="s">
        <v>38</v>
      </c>
      <c r="F82" s="79">
        <v>1</v>
      </c>
      <c r="I82" s="79" t="s">
        <v>120</v>
      </c>
      <c r="J82" s="79">
        <f>(J80+J81)/2</f>
        <v>6.6150000000000002</v>
      </c>
      <c r="M82" s="111" t="s">
        <v>121</v>
      </c>
      <c r="N82" s="79" t="str">
        <f t="shared" ref="N82:N86" si="0">LOWER(M82)</f>
        <v>fyringsolie</v>
      </c>
    </row>
    <row r="83" spans="2:14" ht="15" customHeight="1" x14ac:dyDescent="0.2">
      <c r="B83" s="105"/>
      <c r="C83" s="106"/>
      <c r="D83" s="107"/>
      <c r="E83" s="122" t="s">
        <v>91</v>
      </c>
      <c r="F83" s="79">
        <v>1</v>
      </c>
      <c r="I83" s="79" t="s">
        <v>122</v>
      </c>
      <c r="J83" s="79">
        <f>(J79+J82)/2</f>
        <v>7.2675000000000001</v>
      </c>
      <c r="M83" s="111" t="s">
        <v>79</v>
      </c>
      <c r="N83" s="79" t="str">
        <f t="shared" si="0"/>
        <v>flis</v>
      </c>
    </row>
    <row r="84" spans="2:14" ht="15" customHeight="1" x14ac:dyDescent="0.2">
      <c r="B84" s="105"/>
      <c r="C84" s="106"/>
      <c r="D84" s="107"/>
      <c r="E84" s="122" t="s">
        <v>123</v>
      </c>
      <c r="F84" s="79">
        <v>1</v>
      </c>
      <c r="M84" s="111" t="s">
        <v>74</v>
      </c>
      <c r="N84" s="79" t="str">
        <f t="shared" si="0"/>
        <v>træpiller</v>
      </c>
    </row>
    <row r="85" spans="2:14" ht="15" customHeight="1" x14ac:dyDescent="0.2">
      <c r="B85" s="105"/>
      <c r="C85" s="106"/>
      <c r="D85" s="107"/>
      <c r="E85" s="111" t="s">
        <v>65</v>
      </c>
      <c r="M85" s="111" t="s">
        <v>114</v>
      </c>
      <c r="N85" s="79" t="str">
        <f t="shared" si="0"/>
        <v>stenkul</v>
      </c>
    </row>
    <row r="86" spans="2:14" ht="15" customHeight="1" x14ac:dyDescent="0.2">
      <c r="B86" s="105"/>
      <c r="C86" s="106"/>
      <c r="D86" s="107"/>
      <c r="E86" s="111" t="s">
        <v>121</v>
      </c>
      <c r="G86" s="79" t="str">
        <f>VLOOKUP('[1]Tiltag 1'!G34,E113:H117,2,)</f>
        <v>Elektricitet</v>
      </c>
      <c r="M86" s="111" t="s">
        <v>115</v>
      </c>
      <c r="N86" s="79" t="str">
        <f t="shared" si="0"/>
        <v>koks</v>
      </c>
    </row>
    <row r="87" spans="2:14" ht="15" customHeight="1" x14ac:dyDescent="0.2">
      <c r="B87" s="105"/>
      <c r="C87" s="106"/>
      <c r="D87" s="107"/>
      <c r="E87" s="111" t="s">
        <v>79</v>
      </c>
      <c r="M87" s="111" t="s">
        <v>116</v>
      </c>
      <c r="N87" s="111" t="s">
        <v>116</v>
      </c>
    </row>
    <row r="88" spans="2:14" ht="15" customHeight="1" x14ac:dyDescent="0.2">
      <c r="B88" s="105"/>
      <c r="C88" s="106"/>
      <c r="D88" s="107"/>
      <c r="E88" s="111" t="s">
        <v>74</v>
      </c>
      <c r="M88" s="119" t="s">
        <v>78</v>
      </c>
      <c r="N88" s="79" t="str">
        <f>LOWER(M88)</f>
        <v>halm</v>
      </c>
    </row>
    <row r="89" spans="2:14" ht="15" customHeight="1" x14ac:dyDescent="0.2">
      <c r="B89" s="105"/>
      <c r="C89" s="106"/>
      <c r="D89" s="107"/>
      <c r="E89" s="111" t="s">
        <v>78</v>
      </c>
    </row>
    <row r="90" spans="2:14" ht="15" customHeight="1" x14ac:dyDescent="0.2">
      <c r="B90" s="116"/>
      <c r="C90" s="117"/>
      <c r="D90" s="118"/>
      <c r="E90" s="123" t="s">
        <v>116</v>
      </c>
      <c r="M90" s="79" t="s">
        <v>124</v>
      </c>
      <c r="N90" s="79" t="e">
        <f>VLOOKUP('[1]Tiltag 1'!G17,'[1]Forbrugsberegner 1'!M81:N88,2,FALSE)</f>
        <v>#N/A</v>
      </c>
    </row>
    <row r="91" spans="2:14" ht="15" customHeight="1" x14ac:dyDescent="0.2">
      <c r="E91" s="111" t="s">
        <v>114</v>
      </c>
    </row>
    <row r="92" spans="2:14" ht="15" customHeight="1" x14ac:dyDescent="0.2">
      <c r="B92" s="345"/>
      <c r="C92" s="346"/>
      <c r="D92" s="104"/>
      <c r="E92" s="111" t="s">
        <v>115</v>
      </c>
    </row>
    <row r="93" spans="2:14" ht="15" customHeight="1" x14ac:dyDescent="0.3">
      <c r="B93" s="105"/>
      <c r="C93" s="106"/>
      <c r="D93" s="107"/>
      <c r="J93" s="79" t="s">
        <v>125</v>
      </c>
    </row>
    <row r="94" spans="2:14" ht="15" customHeight="1" x14ac:dyDescent="0.3">
      <c r="B94" s="105"/>
      <c r="C94" s="106"/>
      <c r="D94" s="107"/>
      <c r="E94" s="124" t="s">
        <v>126</v>
      </c>
      <c r="F94" s="79" t="s">
        <v>127</v>
      </c>
      <c r="G94" s="124" t="s">
        <v>128</v>
      </c>
      <c r="J94" s="79" t="s">
        <v>129</v>
      </c>
    </row>
    <row r="95" spans="2:14" ht="15" customHeight="1" x14ac:dyDescent="0.3">
      <c r="B95" s="105"/>
      <c r="C95" s="106"/>
      <c r="D95" s="107"/>
      <c r="E95" s="79" t="s">
        <v>129</v>
      </c>
      <c r="F95" s="79" t="s">
        <v>65</v>
      </c>
      <c r="G95" s="79" t="s">
        <v>65</v>
      </c>
      <c r="H95" s="79" t="s">
        <v>130</v>
      </c>
      <c r="J95" s="79" t="s">
        <v>131</v>
      </c>
    </row>
    <row r="96" spans="2:14" ht="15" customHeight="1" x14ac:dyDescent="0.3">
      <c r="B96" s="105"/>
      <c r="C96" s="106"/>
      <c r="D96" s="107"/>
      <c r="E96" s="79" t="s">
        <v>131</v>
      </c>
      <c r="F96" s="79" t="s">
        <v>109</v>
      </c>
      <c r="G96" s="79" t="s">
        <v>57</v>
      </c>
      <c r="H96" s="79" t="s">
        <v>130</v>
      </c>
      <c r="J96" s="79" t="s">
        <v>132</v>
      </c>
    </row>
    <row r="97" spans="2:10" ht="15" customHeight="1" x14ac:dyDescent="0.3">
      <c r="B97" s="105"/>
      <c r="C97" s="106"/>
      <c r="D97" s="107"/>
      <c r="E97" s="79" t="s">
        <v>132</v>
      </c>
      <c r="F97" s="79" t="s">
        <v>111</v>
      </c>
      <c r="G97" s="79" t="s">
        <v>79</v>
      </c>
      <c r="H97" s="79" t="s">
        <v>130</v>
      </c>
      <c r="J97" s="79" t="s">
        <v>133</v>
      </c>
    </row>
    <row r="98" spans="2:10" ht="15" customHeight="1" x14ac:dyDescent="0.3">
      <c r="B98" s="116"/>
      <c r="C98" s="117"/>
      <c r="D98" s="118"/>
      <c r="E98" s="79" t="s">
        <v>133</v>
      </c>
      <c r="F98" s="79" t="s">
        <v>113</v>
      </c>
      <c r="G98" s="79" t="s">
        <v>74</v>
      </c>
      <c r="H98" s="79" t="s">
        <v>130</v>
      </c>
      <c r="J98" s="79" t="s">
        <v>134</v>
      </c>
    </row>
    <row r="99" spans="2:10" ht="15" customHeight="1" x14ac:dyDescent="0.3">
      <c r="E99" s="79" t="s">
        <v>135</v>
      </c>
      <c r="F99" s="79" t="s">
        <v>114</v>
      </c>
      <c r="G99" s="79" t="s">
        <v>80</v>
      </c>
      <c r="H99" s="79" t="s">
        <v>130</v>
      </c>
      <c r="J99" s="79" t="s">
        <v>136</v>
      </c>
    </row>
    <row r="100" spans="2:10" ht="15" customHeight="1" x14ac:dyDescent="0.3">
      <c r="B100" s="345"/>
      <c r="C100" s="346"/>
      <c r="D100" s="104"/>
      <c r="E100" s="79" t="s">
        <v>137</v>
      </c>
      <c r="F100" s="79" t="s">
        <v>115</v>
      </c>
      <c r="G100" s="79" t="s">
        <v>80</v>
      </c>
      <c r="H100" s="79" t="s">
        <v>130</v>
      </c>
    </row>
    <row r="101" spans="2:10" ht="15" customHeight="1" x14ac:dyDescent="0.3">
      <c r="B101" s="105"/>
      <c r="C101" s="106"/>
      <c r="D101" s="125"/>
      <c r="E101" s="79" t="s">
        <v>138</v>
      </c>
      <c r="F101" s="79" t="s">
        <v>139</v>
      </c>
      <c r="G101" s="79" t="s">
        <v>57</v>
      </c>
      <c r="H101" s="79" t="s">
        <v>130</v>
      </c>
    </row>
    <row r="102" spans="2:10" ht="15" customHeight="1" x14ac:dyDescent="0.3">
      <c r="B102" s="105"/>
      <c r="C102" s="106"/>
      <c r="D102" s="107"/>
      <c r="E102" s="79" t="s">
        <v>134</v>
      </c>
      <c r="F102" s="79" t="s">
        <v>65</v>
      </c>
      <c r="G102" s="79" t="s">
        <v>65</v>
      </c>
      <c r="H102" s="79" t="s">
        <v>96</v>
      </c>
    </row>
    <row r="103" spans="2:10" ht="15" customHeight="1" x14ac:dyDescent="0.3">
      <c r="B103" s="116"/>
      <c r="C103" s="117"/>
      <c r="D103" s="118"/>
      <c r="E103" s="79" t="s">
        <v>136</v>
      </c>
      <c r="F103" s="79" t="s">
        <v>109</v>
      </c>
      <c r="G103" s="79" t="s">
        <v>57</v>
      </c>
      <c r="H103" s="79" t="s">
        <v>96</v>
      </c>
    </row>
    <row r="104" spans="2:10" ht="15" customHeight="1" x14ac:dyDescent="0.3">
      <c r="E104" s="79" t="s">
        <v>140</v>
      </c>
      <c r="F104" s="79" t="s">
        <v>65</v>
      </c>
      <c r="G104" s="79" t="s">
        <v>65</v>
      </c>
    </row>
    <row r="105" spans="2:10" ht="15" customHeight="1" x14ac:dyDescent="0.3">
      <c r="E105" s="79" t="s">
        <v>91</v>
      </c>
      <c r="F105" s="79" t="s">
        <v>91</v>
      </c>
      <c r="G105" s="79" t="s">
        <v>91</v>
      </c>
    </row>
    <row r="106" spans="2:10" ht="15" customHeight="1" x14ac:dyDescent="0.3">
      <c r="E106" s="79" t="s">
        <v>38</v>
      </c>
      <c r="F106" s="79" t="s">
        <v>141</v>
      </c>
      <c r="G106" s="79" t="s">
        <v>141</v>
      </c>
    </row>
    <row r="107" spans="2:10" ht="15" customHeight="1" x14ac:dyDescent="0.3">
      <c r="E107" s="79" t="s">
        <v>123</v>
      </c>
      <c r="F107" s="79" t="s">
        <v>141</v>
      </c>
      <c r="G107" s="79" t="s">
        <v>141</v>
      </c>
    </row>
    <row r="110" spans="2:10" ht="15" customHeight="1" x14ac:dyDescent="0.3">
      <c r="E110" s="79" t="s">
        <v>142</v>
      </c>
      <c r="F110" s="79" t="s">
        <v>78</v>
      </c>
      <c r="G110" s="79" t="s">
        <v>78</v>
      </c>
      <c r="H110" s="79" t="s">
        <v>130</v>
      </c>
    </row>
    <row r="112" spans="2:10" ht="15" customHeight="1" x14ac:dyDescent="0.3">
      <c r="E112" s="79" t="s">
        <v>143</v>
      </c>
    </row>
    <row r="113" spans="5:8" ht="15" customHeight="1" x14ac:dyDescent="0.3">
      <c r="E113" s="79" t="s">
        <v>91</v>
      </c>
      <c r="F113" s="79" t="s">
        <v>91</v>
      </c>
      <c r="G113" s="79" t="s">
        <v>91</v>
      </c>
    </row>
    <row r="114" spans="5:8" ht="15" customHeight="1" x14ac:dyDescent="0.3">
      <c r="E114" s="79" t="s">
        <v>38</v>
      </c>
      <c r="F114" s="79" t="s">
        <v>141</v>
      </c>
      <c r="G114" s="79" t="s">
        <v>141</v>
      </c>
    </row>
    <row r="115" spans="5:8" ht="15" customHeight="1" x14ac:dyDescent="0.3">
      <c r="E115" s="79" t="s">
        <v>132</v>
      </c>
      <c r="F115" s="79" t="s">
        <v>111</v>
      </c>
      <c r="G115" s="79" t="s">
        <v>79</v>
      </c>
      <c r="H115" s="79" t="s">
        <v>130</v>
      </c>
    </row>
    <row r="116" spans="5:8" ht="15" customHeight="1" x14ac:dyDescent="0.3">
      <c r="E116" s="79" t="s">
        <v>133</v>
      </c>
      <c r="F116" s="79" t="s">
        <v>113</v>
      </c>
      <c r="G116" s="79" t="s">
        <v>113</v>
      </c>
      <c r="H116" s="79" t="s">
        <v>130</v>
      </c>
    </row>
    <row r="117" spans="5:8" ht="15" customHeight="1" x14ac:dyDescent="0.3">
      <c r="E117" s="79" t="s">
        <v>142</v>
      </c>
      <c r="F117" s="79" t="s">
        <v>78</v>
      </c>
      <c r="G117" s="79" t="s">
        <v>78</v>
      </c>
      <c r="H117" s="79" t="s">
        <v>130</v>
      </c>
    </row>
    <row r="119" spans="5:8" ht="15" customHeight="1" x14ac:dyDescent="0.3">
      <c r="E119" s="79">
        <f>IFERROR(VLOOKUP('[1]Tiltag 1'!G34,E113:H117,4,FALSE),"")</f>
        <v>0</v>
      </c>
    </row>
  </sheetData>
  <mergeCells count="7">
    <mergeCell ref="B100:C100"/>
    <mergeCell ref="N1:O1"/>
    <mergeCell ref="R1:S1"/>
    <mergeCell ref="B69:C69"/>
    <mergeCell ref="E70:G70"/>
    <mergeCell ref="B80:C80"/>
    <mergeCell ref="B92:C92"/>
  </mergeCells>
  <hyperlinks>
    <hyperlink ref="H71" r:id="rId1"/>
    <hyperlink ref="H72:H75" r:id="rId2" display="https://ens.dk/sites/ens.dk/files/CO2/standardfaktorer_for_2019.pdf"/>
    <hyperlink ref="H76" r:id="rId3"/>
  </hyperlinks>
  <pageMargins left="0.7" right="0.7" top="0.75" bottom="0.75" header="0.3" footer="0.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91"/>
  <sheetViews>
    <sheetView workbookViewId="0">
      <selection activeCell="K19" sqref="K19"/>
    </sheetView>
  </sheetViews>
  <sheetFormatPr defaultRowHeight="14.4" x14ac:dyDescent="0.3"/>
  <cols>
    <col min="2" max="2" width="23.44140625" customWidth="1"/>
    <col min="3" max="3" width="23.5546875" customWidth="1"/>
    <col min="4" max="4" width="19" bestFit="1" customWidth="1"/>
    <col min="5" max="5" width="10.6640625" bestFit="1" customWidth="1"/>
    <col min="6" max="6" width="12" bestFit="1" customWidth="1"/>
    <col min="9" max="9" width="12" bestFit="1" customWidth="1"/>
    <col min="10" max="10" width="19" bestFit="1" customWidth="1"/>
    <col min="13" max="13" width="93.44140625" bestFit="1" customWidth="1"/>
    <col min="14" max="14" width="9" bestFit="1" customWidth="1"/>
    <col min="15" max="15" width="93.44140625" bestFit="1" customWidth="1"/>
    <col min="16" max="16" width="19" bestFit="1" customWidth="1"/>
  </cols>
  <sheetData>
    <row r="2" spans="1:13" ht="15" thickBot="1" x14ac:dyDescent="0.35"/>
    <row r="3" spans="1:13" x14ac:dyDescent="0.3">
      <c r="B3" s="126" t="s">
        <v>53</v>
      </c>
      <c r="C3" s="127" t="e">
        <f>'Optimering af klimaskærm'!#REF!</f>
        <v>#REF!</v>
      </c>
    </row>
    <row r="4" spans="1:13" x14ac:dyDescent="0.3">
      <c r="B4" s="128" t="s">
        <v>54</v>
      </c>
      <c r="C4" s="129" t="e">
        <f>'VG beregner'!D3</f>
        <v>#REF!</v>
      </c>
      <c r="K4">
        <f ca="1">YEAR(TODAY())</f>
        <v>2023</v>
      </c>
    </row>
    <row r="5" spans="1:13" x14ac:dyDescent="0.3">
      <c r="B5" s="128" t="s">
        <v>55</v>
      </c>
      <c r="C5" s="130" t="e">
        <f>'Optimering af klimaskærm'!#REF!</f>
        <v>#REF!</v>
      </c>
    </row>
    <row r="6" spans="1:13" ht="25.5" customHeight="1" thickBot="1" x14ac:dyDescent="0.35">
      <c r="B6" s="131" t="s">
        <v>56</v>
      </c>
      <c r="C6" s="132" t="e">
        <f>IF(OR(C4="Halm",C4="Træflis",C4="Træpiller"),1,IF(AND(C3&gt;0,C3&lt;69.999),1,IF(AND(C3&gt;69.999,C3&lt;199.999),2,IF(AND(C3&gt;199.999,C3&lt;1000.001),3,0))))</f>
        <v>#REF!</v>
      </c>
    </row>
    <row r="7" spans="1:13" ht="15" thickBot="1" x14ac:dyDescent="0.35"/>
    <row r="8" spans="1:13" x14ac:dyDescent="0.3">
      <c r="A8" s="133"/>
      <c r="B8" s="134" t="s">
        <v>57</v>
      </c>
      <c r="C8" s="135"/>
      <c r="D8" s="135"/>
      <c r="E8" s="135"/>
      <c r="F8" s="135"/>
      <c r="G8" s="135"/>
      <c r="H8" s="135"/>
      <c r="I8" s="136"/>
    </row>
    <row r="9" spans="1:13" x14ac:dyDescent="0.3">
      <c r="A9" s="137"/>
      <c r="B9" s="138"/>
      <c r="C9" s="138"/>
      <c r="D9" s="138" t="s">
        <v>58</v>
      </c>
      <c r="E9" s="138" t="s">
        <v>59</v>
      </c>
      <c r="F9" s="138" t="s">
        <v>60</v>
      </c>
      <c r="G9" s="138"/>
      <c r="H9" s="138"/>
      <c r="I9" s="130"/>
    </row>
    <row r="10" spans="1:13" ht="15" thickBot="1" x14ac:dyDescent="0.35">
      <c r="A10" s="137"/>
      <c r="B10" s="138"/>
      <c r="C10" s="139"/>
      <c r="D10" s="139">
        <v>1</v>
      </c>
      <c r="E10" s="139">
        <v>2</v>
      </c>
      <c r="F10" s="139">
        <v>3</v>
      </c>
      <c r="G10" s="138"/>
      <c r="H10" s="138"/>
      <c r="I10" s="130"/>
      <c r="M10" t="e">
        <f>IF(C4="Olie",1,IF(C4="Naturgas",2,IF(C4="Halm",3,IF(C4="Flis",4,IF(C4="Træpiller",5,IF(C4="Brænde",6,IF(C4="Kul/koks",7,"""")))))))</f>
        <v>#REF!</v>
      </c>
    </row>
    <row r="11" spans="1:13" x14ac:dyDescent="0.3">
      <c r="A11" s="137"/>
      <c r="B11" s="138"/>
      <c r="C11" s="140" t="s">
        <v>144</v>
      </c>
      <c r="D11" s="141">
        <v>0.84</v>
      </c>
      <c r="E11" s="142">
        <v>0.86</v>
      </c>
      <c r="F11" s="142">
        <v>0.89</v>
      </c>
      <c r="G11" s="138"/>
      <c r="H11" s="138"/>
      <c r="I11" s="130"/>
    </row>
    <row r="12" spans="1:13" ht="15" thickBot="1" x14ac:dyDescent="0.35">
      <c r="A12" s="137"/>
      <c r="B12" s="138"/>
      <c r="C12" s="143" t="s">
        <v>61</v>
      </c>
      <c r="D12" s="144">
        <v>0.91</v>
      </c>
      <c r="E12" s="145">
        <v>0.92</v>
      </c>
      <c r="F12" s="145">
        <v>0.93</v>
      </c>
      <c r="G12" s="138"/>
      <c r="H12" s="138">
        <v>1</v>
      </c>
      <c r="I12" s="130" t="s">
        <v>58</v>
      </c>
    </row>
    <row r="13" spans="1:13" ht="24.6" thickBot="1" x14ac:dyDescent="0.35">
      <c r="A13" s="137"/>
      <c r="B13" s="138"/>
      <c r="C13" s="146" t="s">
        <v>62</v>
      </c>
      <c r="D13" s="144">
        <v>0.98</v>
      </c>
      <c r="E13" s="147">
        <v>0.99</v>
      </c>
      <c r="F13" s="145">
        <v>0.99</v>
      </c>
      <c r="G13" s="138"/>
      <c r="H13" s="138">
        <v>2</v>
      </c>
      <c r="I13" s="130" t="s">
        <v>59</v>
      </c>
      <c r="L13" t="e">
        <f>IF(M13="","",MAX(L$12:L12)+1)</f>
        <v>#REF!</v>
      </c>
      <c r="M13" t="e">
        <f>IF(AND($M$10=1,$C$5&lt;1970),C11,IF(AND($M$10=1,$C$5&gt;1969.99,$C$5&lt;1990.1),C12,IF(AND($M$10=1,$C$5&gt;1990.1,$C$5&lt;K4-10),C13,IF(AND($M$10=1,$K$4-$C$5&lt;10.0001),C14,IF(AND($M$10=2,K4-$C$5&gt;10.0001,C5&gt;1999.9),C28,IF(AND(M10=2,K4-C5&lt;10.0001),C29,IF(AND(M10=2,K4-$C$5&gt;10.0001,C5&lt;2000),C27,IF($M$10=3,C42,IF($M$10=4,C56,IF($M$10=5,C66,IF($M$10=6,C76,IF(C4=B90,"Kul/koks",""))))))))))))</f>
        <v>#REF!</v>
      </c>
    </row>
    <row r="14" spans="1:13" ht="24.6" thickBot="1" x14ac:dyDescent="0.35">
      <c r="A14" s="137"/>
      <c r="B14" s="138"/>
      <c r="C14" s="143" t="s">
        <v>63</v>
      </c>
      <c r="D14" s="144">
        <v>1.02</v>
      </c>
      <c r="E14" s="148">
        <v>1.03</v>
      </c>
      <c r="F14" s="145">
        <v>1.01</v>
      </c>
      <c r="G14" s="138"/>
      <c r="H14" s="138">
        <v>3</v>
      </c>
      <c r="I14" s="130" t="s">
        <v>60</v>
      </c>
      <c r="L14" t="e">
        <f>IF(M14="","",MAX(L$12:L13)+1)</f>
        <v>#REF!</v>
      </c>
      <c r="M14" t="e">
        <f>IF(AND($M$10=1,$C$5&lt;1970),#REF!,IF($M$10=3,C43,""))</f>
        <v>#REF!</v>
      </c>
    </row>
    <row r="15" spans="1:13" x14ac:dyDescent="0.3">
      <c r="A15" s="137"/>
      <c r="B15" s="138"/>
      <c r="G15" s="138"/>
      <c r="H15" s="138"/>
      <c r="I15" s="130"/>
      <c r="L15" t="e">
        <f>IF(M15="","",MAX(L$12:L14)+1)</f>
        <v>#REF!</v>
      </c>
      <c r="M15" t="e">
        <f>IF(AND($M$10=1,$C$5&lt;1970),C11,IF($M$10=3,C44,""))</f>
        <v>#REF!</v>
      </c>
    </row>
    <row r="16" spans="1:13" x14ac:dyDescent="0.3">
      <c r="A16" s="137"/>
      <c r="B16" s="138"/>
      <c r="G16" s="138"/>
      <c r="H16" s="138"/>
      <c r="I16" s="130"/>
      <c r="L16" t="e">
        <f>IF(M16="","",MAX(L$12:L15)+1)</f>
        <v>#REF!</v>
      </c>
      <c r="M16" t="e">
        <f>IF($M$10=3,C45,"")</f>
        <v>#REF!</v>
      </c>
    </row>
    <row r="17" spans="1:15" x14ac:dyDescent="0.3">
      <c r="A17" s="137"/>
      <c r="B17" s="138"/>
      <c r="C17" s="138"/>
      <c r="D17" s="138"/>
      <c r="E17" s="138"/>
      <c r="F17" s="138"/>
      <c r="G17" s="138"/>
      <c r="H17" s="138"/>
      <c r="I17" s="130"/>
      <c r="L17" t="e">
        <f>IF(M17="","",MAX(L$12:L16)+1)</f>
        <v>#REF!</v>
      </c>
      <c r="M17" t="e">
        <f>IF($M$10=3,C46,"")</f>
        <v>#REF!</v>
      </c>
    </row>
    <row r="18" spans="1:15" x14ac:dyDescent="0.3">
      <c r="A18" s="137"/>
      <c r="B18" s="138"/>
      <c r="C18" s="138"/>
      <c r="D18" s="138"/>
      <c r="E18" s="138"/>
      <c r="F18" s="138"/>
      <c r="G18" s="138"/>
      <c r="H18" s="138"/>
      <c r="I18" s="130"/>
    </row>
    <row r="19" spans="1:15" x14ac:dyDescent="0.3">
      <c r="A19" s="137"/>
      <c r="B19" s="138"/>
      <c r="C19" s="138"/>
      <c r="D19" s="138"/>
      <c r="E19" s="138"/>
      <c r="F19" s="138"/>
      <c r="G19" s="138"/>
      <c r="H19" s="138"/>
      <c r="I19" s="130"/>
    </row>
    <row r="20" spans="1:15" x14ac:dyDescent="0.3">
      <c r="A20" s="137"/>
      <c r="B20" s="149" t="s">
        <v>64</v>
      </c>
      <c r="C20" s="138" t="e">
        <f>+INDEX(D11:F14,MATCH(M13,C11:C14,0),MATCH(C6,D10:F10,1))</f>
        <v>#REF!</v>
      </c>
      <c r="D20" s="138" t="e">
        <f ca="1">IF(K4-C5&gt;10,1)</f>
        <v>#REF!</v>
      </c>
      <c r="E20" s="138"/>
      <c r="F20" s="138"/>
      <c r="G20" s="138"/>
      <c r="H20" s="138"/>
      <c r="I20" s="130"/>
      <c r="M20" t="s">
        <v>35</v>
      </c>
    </row>
    <row r="21" spans="1:15" ht="15" thickBot="1" x14ac:dyDescent="0.35">
      <c r="A21" s="150"/>
      <c r="B21" s="139"/>
      <c r="C21" s="139"/>
      <c r="D21" s="139"/>
      <c r="E21" s="139"/>
      <c r="F21" s="139"/>
      <c r="G21" s="139"/>
      <c r="H21" s="139"/>
      <c r="I21" s="151"/>
    </row>
    <row r="23" spans="1:15" ht="15" thickBot="1" x14ac:dyDescent="0.35"/>
    <row r="24" spans="1:15" x14ac:dyDescent="0.3">
      <c r="A24" s="133"/>
      <c r="B24" s="134" t="s">
        <v>65</v>
      </c>
      <c r="C24" s="135"/>
      <c r="D24" s="135"/>
      <c r="E24" s="135"/>
      <c r="F24" s="135"/>
      <c r="G24" s="135"/>
      <c r="H24" s="135"/>
      <c r="I24" s="136"/>
    </row>
    <row r="25" spans="1:15" x14ac:dyDescent="0.3">
      <c r="A25" s="137"/>
      <c r="B25" s="138"/>
      <c r="C25" s="138"/>
      <c r="D25" s="138" t="s">
        <v>58</v>
      </c>
      <c r="E25" s="138" t="s">
        <v>59</v>
      </c>
      <c r="F25" s="138" t="s">
        <v>60</v>
      </c>
      <c r="G25" s="138"/>
      <c r="H25" s="138"/>
      <c r="I25" s="130"/>
    </row>
    <row r="26" spans="1:15" ht="15" thickBot="1" x14ac:dyDescent="0.35">
      <c r="A26" s="137"/>
      <c r="B26" s="138"/>
      <c r="C26" s="138"/>
      <c r="D26" s="138">
        <v>1</v>
      </c>
      <c r="E26" s="138">
        <v>2</v>
      </c>
      <c r="F26" s="138">
        <v>3</v>
      </c>
      <c r="G26" s="138"/>
      <c r="H26" s="138"/>
      <c r="I26" s="130"/>
    </row>
    <row r="27" spans="1:15" ht="15" thickBot="1" x14ac:dyDescent="0.35">
      <c r="A27" s="137"/>
      <c r="B27" s="138"/>
      <c r="C27" s="152" t="s">
        <v>145</v>
      </c>
      <c r="D27" s="153">
        <v>0.9</v>
      </c>
      <c r="E27" s="148">
        <v>0.86</v>
      </c>
      <c r="F27" s="148">
        <v>0.93</v>
      </c>
      <c r="G27" s="138"/>
      <c r="H27" s="138">
        <v>1</v>
      </c>
      <c r="I27" s="130" t="s">
        <v>58</v>
      </c>
    </row>
    <row r="28" spans="1:15" ht="15" thickBot="1" x14ac:dyDescent="0.35">
      <c r="A28" s="137"/>
      <c r="B28" s="138"/>
      <c r="C28" s="143" t="s">
        <v>146</v>
      </c>
      <c r="D28" s="144">
        <v>0.96</v>
      </c>
      <c r="E28" s="145">
        <v>1.01</v>
      </c>
      <c r="F28" s="145">
        <v>1.02</v>
      </c>
      <c r="G28" s="138"/>
      <c r="H28" s="138">
        <v>2</v>
      </c>
      <c r="I28" s="130" t="s">
        <v>59</v>
      </c>
    </row>
    <row r="29" spans="1:15" ht="15" thickBot="1" x14ac:dyDescent="0.35">
      <c r="A29" s="137"/>
      <c r="B29" s="138"/>
      <c r="C29" s="143" t="s">
        <v>147</v>
      </c>
      <c r="D29" s="144">
        <v>1.02</v>
      </c>
      <c r="E29" s="145">
        <v>1.02</v>
      </c>
      <c r="F29" s="145">
        <v>1.03</v>
      </c>
      <c r="G29" s="138"/>
      <c r="H29" s="138">
        <v>3</v>
      </c>
      <c r="I29" s="130" t="s">
        <v>60</v>
      </c>
    </row>
    <row r="30" spans="1:15" x14ac:dyDescent="0.3">
      <c r="A30" s="137"/>
      <c r="B30" s="138"/>
      <c r="C30" s="138"/>
      <c r="D30" s="138"/>
      <c r="E30" s="138"/>
      <c r="F30" s="138"/>
      <c r="G30" s="138"/>
      <c r="H30" s="138"/>
      <c r="I30" s="130"/>
    </row>
    <row r="31" spans="1:15" x14ac:dyDescent="0.3">
      <c r="A31" s="137"/>
      <c r="B31" s="138"/>
      <c r="C31" s="138"/>
      <c r="D31" s="138"/>
      <c r="E31" s="138"/>
      <c r="F31" s="138"/>
      <c r="G31" s="138"/>
      <c r="H31" s="138"/>
      <c r="I31" s="130"/>
      <c r="L31" s="154"/>
      <c r="M31" s="154"/>
      <c r="N31" s="154"/>
      <c r="O31" s="154"/>
    </row>
    <row r="32" spans="1:15" x14ac:dyDescent="0.3">
      <c r="A32" s="137"/>
      <c r="B32" s="138"/>
      <c r="C32" s="138"/>
      <c r="D32" s="138"/>
      <c r="E32" s="138"/>
      <c r="F32" s="138"/>
      <c r="G32" s="138"/>
      <c r="H32" s="138"/>
      <c r="I32" s="130"/>
      <c r="L32" s="155"/>
      <c r="M32" s="156"/>
      <c r="N32" s="156"/>
      <c r="O32" s="156"/>
    </row>
    <row r="33" spans="1:15" x14ac:dyDescent="0.3">
      <c r="A33" s="137"/>
      <c r="B33" s="149" t="s">
        <v>66</v>
      </c>
      <c r="C33" s="138" t="e">
        <f>+INDEX(D27:F29,MATCH(M13,C27:C29,0),MATCH(C6,D26:F26,1))</f>
        <v>#REF!</v>
      </c>
      <c r="D33" s="138"/>
      <c r="E33" s="138"/>
      <c r="F33" s="138"/>
      <c r="G33" s="138"/>
      <c r="H33" s="138"/>
      <c r="I33" s="130"/>
      <c r="L33" s="155"/>
      <c r="M33" s="156"/>
      <c r="N33" s="156"/>
      <c r="O33" s="156"/>
    </row>
    <row r="34" spans="1:15" ht="15" thickBot="1" x14ac:dyDescent="0.35">
      <c r="A34" s="150"/>
      <c r="B34" s="139"/>
      <c r="C34" s="139"/>
      <c r="D34" s="139"/>
      <c r="E34" s="139"/>
      <c r="F34" s="139"/>
      <c r="G34" s="139"/>
      <c r="H34" s="139"/>
      <c r="I34" s="151"/>
      <c r="L34" s="155"/>
      <c r="M34" s="156"/>
      <c r="N34" s="156"/>
      <c r="O34" s="156"/>
    </row>
    <row r="35" spans="1:15" x14ac:dyDescent="0.3">
      <c r="L35" s="154"/>
      <c r="M35" s="154"/>
      <c r="N35" s="154"/>
      <c r="O35" s="154"/>
    </row>
    <row r="38" spans="1:15" ht="15" thickBot="1" x14ac:dyDescent="0.35"/>
    <row r="39" spans="1:15" x14ac:dyDescent="0.3">
      <c r="B39" s="134" t="s">
        <v>67</v>
      </c>
      <c r="C39" s="135"/>
      <c r="D39" s="135"/>
      <c r="E39" s="135"/>
      <c r="F39" s="135"/>
      <c r="G39" s="135"/>
      <c r="H39" s="135"/>
      <c r="I39" s="136"/>
    </row>
    <row r="40" spans="1:15" x14ac:dyDescent="0.3">
      <c r="B40" s="138"/>
      <c r="C40" s="138"/>
      <c r="D40" s="138" t="s">
        <v>68</v>
      </c>
      <c r="E40" s="138"/>
      <c r="F40" s="138"/>
      <c r="G40" s="138"/>
      <c r="H40" s="138"/>
      <c r="I40" s="130"/>
    </row>
    <row r="41" spans="1:15" ht="15" thickBot="1" x14ac:dyDescent="0.35">
      <c r="B41" s="138"/>
      <c r="C41" s="138"/>
      <c r="D41" s="138">
        <v>1</v>
      </c>
      <c r="E41" s="138"/>
      <c r="F41" s="138"/>
      <c r="G41" s="138"/>
      <c r="H41" s="138"/>
      <c r="I41" s="130"/>
    </row>
    <row r="42" spans="1:15" ht="15" thickBot="1" x14ac:dyDescent="0.35">
      <c r="B42" s="138"/>
      <c r="C42" s="152" t="s">
        <v>69</v>
      </c>
      <c r="D42" s="157">
        <v>0.88</v>
      </c>
      <c r="E42" s="158"/>
      <c r="F42" s="158"/>
      <c r="G42" s="138"/>
      <c r="H42" s="138">
        <v>1</v>
      </c>
      <c r="I42" s="130" t="s">
        <v>68</v>
      </c>
    </row>
    <row r="43" spans="1:15" ht="15" thickBot="1" x14ac:dyDescent="0.35">
      <c r="B43" s="138"/>
      <c r="C43" s="143"/>
      <c r="D43" s="159"/>
      <c r="E43" s="158"/>
      <c r="F43" s="158"/>
      <c r="G43" s="138"/>
      <c r="H43" s="138"/>
      <c r="I43" s="130"/>
    </row>
    <row r="44" spans="1:15" ht="15" thickBot="1" x14ac:dyDescent="0.35">
      <c r="B44" s="138"/>
      <c r="C44" s="160"/>
      <c r="D44" s="161"/>
      <c r="E44" s="138"/>
      <c r="F44" s="158"/>
      <c r="G44" s="138"/>
      <c r="H44" s="138"/>
      <c r="I44" s="130"/>
    </row>
    <row r="45" spans="1:15" ht="15" thickBot="1" x14ac:dyDescent="0.35">
      <c r="B45" s="138"/>
      <c r="C45" s="160"/>
      <c r="D45" s="145"/>
      <c r="F45" s="138"/>
      <c r="G45" s="138"/>
      <c r="H45" s="138"/>
      <c r="I45" s="130"/>
    </row>
    <row r="46" spans="1:15" ht="15" thickBot="1" x14ac:dyDescent="0.35">
      <c r="B46" s="138"/>
      <c r="C46" s="143"/>
      <c r="D46" s="145"/>
      <c r="F46" s="138"/>
      <c r="G46" s="138"/>
      <c r="H46" s="138"/>
      <c r="I46" s="130"/>
    </row>
    <row r="47" spans="1:15" x14ac:dyDescent="0.3">
      <c r="B47" s="138"/>
      <c r="C47" s="138"/>
      <c r="D47" s="138"/>
      <c r="E47" s="138"/>
      <c r="F47" s="138"/>
      <c r="G47" s="138"/>
      <c r="H47" s="138"/>
      <c r="I47" s="130"/>
    </row>
    <row r="48" spans="1:15" x14ac:dyDescent="0.3">
      <c r="B48" s="149" t="s">
        <v>70</v>
      </c>
      <c r="C48" s="138" t="e">
        <f>+INDEX(D42:D46,MATCH(#REF!,C42:C46,0),MATCH(C6,D41,1))</f>
        <v>#REF!</v>
      </c>
      <c r="D48" s="138"/>
      <c r="E48" s="138"/>
      <c r="F48" s="138"/>
      <c r="G48" s="138"/>
      <c r="H48" s="138"/>
      <c r="I48" s="130"/>
    </row>
    <row r="49" spans="2:9" ht="15" thickBot="1" x14ac:dyDescent="0.35">
      <c r="B49" s="139"/>
      <c r="C49" s="139"/>
      <c r="D49" s="139"/>
      <c r="E49" s="139"/>
      <c r="F49" s="139"/>
      <c r="G49" s="139"/>
      <c r="H49" s="139"/>
      <c r="I49" s="151"/>
    </row>
    <row r="52" spans="2:9" ht="15" thickBot="1" x14ac:dyDescent="0.35"/>
    <row r="53" spans="2:9" x14ac:dyDescent="0.3">
      <c r="B53" s="134" t="s">
        <v>71</v>
      </c>
      <c r="C53" s="135"/>
      <c r="D53" s="135"/>
      <c r="E53" s="135"/>
      <c r="F53" s="135"/>
      <c r="G53" s="135"/>
      <c r="H53" s="135"/>
      <c r="I53" s="136"/>
    </row>
    <row r="54" spans="2:9" x14ac:dyDescent="0.3">
      <c r="B54" s="138"/>
      <c r="C54" s="138"/>
      <c r="D54" s="138" t="s">
        <v>68</v>
      </c>
      <c r="E54" s="138"/>
      <c r="F54" s="138"/>
      <c r="G54" s="138"/>
      <c r="H54" s="138"/>
      <c r="I54" s="130"/>
    </row>
    <row r="55" spans="2:9" ht="15" thickBot="1" x14ac:dyDescent="0.35">
      <c r="B55" s="138"/>
      <c r="C55" s="138"/>
      <c r="D55" s="138">
        <v>1</v>
      </c>
      <c r="E55" s="138"/>
      <c r="F55" s="138"/>
      <c r="G55" s="138"/>
      <c r="H55" s="138"/>
      <c r="I55" s="130"/>
    </row>
    <row r="56" spans="2:9" ht="15" thickBot="1" x14ac:dyDescent="0.35">
      <c r="B56" s="138"/>
      <c r="C56" s="152" t="s">
        <v>72</v>
      </c>
      <c r="D56" s="157">
        <v>0.97</v>
      </c>
      <c r="E56" s="158"/>
      <c r="F56" s="158"/>
      <c r="G56" s="138"/>
      <c r="H56" s="138">
        <v>1</v>
      </c>
      <c r="I56" s="130" t="s">
        <v>68</v>
      </c>
    </row>
    <row r="57" spans="2:9" x14ac:dyDescent="0.3">
      <c r="B57" s="138"/>
      <c r="C57" s="138"/>
      <c r="D57" s="138"/>
      <c r="E57" s="138"/>
      <c r="F57" s="138"/>
      <c r="G57" s="138"/>
      <c r="H57" s="138"/>
      <c r="I57" s="130"/>
    </row>
    <row r="58" spans="2:9" x14ac:dyDescent="0.3">
      <c r="B58" s="149" t="s">
        <v>73</v>
      </c>
      <c r="C58" s="138" t="e">
        <f>+INDEX(D56:D56,MATCH(M13,C56:C56,0),MATCH(C6,D55,1))</f>
        <v>#REF!</v>
      </c>
      <c r="D58" s="138"/>
      <c r="E58" s="138"/>
      <c r="F58" s="138"/>
      <c r="G58" s="138"/>
      <c r="H58" s="138"/>
      <c r="I58" s="130"/>
    </row>
    <row r="59" spans="2:9" ht="15" thickBot="1" x14ac:dyDescent="0.35">
      <c r="B59" s="139"/>
      <c r="C59" s="139"/>
      <c r="D59" s="139"/>
      <c r="E59" s="139"/>
      <c r="F59" s="139"/>
      <c r="G59" s="139"/>
      <c r="H59" s="139"/>
      <c r="I59" s="151"/>
    </row>
    <row r="62" spans="2:9" ht="15" thickBot="1" x14ac:dyDescent="0.35"/>
    <row r="63" spans="2:9" x14ac:dyDescent="0.3">
      <c r="B63" s="111" t="s">
        <v>74</v>
      </c>
      <c r="C63" s="135"/>
      <c r="D63" s="135"/>
      <c r="E63" s="135"/>
      <c r="F63" s="135"/>
      <c r="G63" s="135"/>
      <c r="H63" s="135"/>
      <c r="I63" s="136"/>
    </row>
    <row r="64" spans="2:9" x14ac:dyDescent="0.3">
      <c r="B64" s="138"/>
      <c r="C64" s="138"/>
      <c r="D64" s="138" t="s">
        <v>68</v>
      </c>
      <c r="E64" s="138"/>
      <c r="F64" s="138"/>
      <c r="G64" s="138"/>
      <c r="H64" s="138"/>
      <c r="I64" s="130"/>
    </row>
    <row r="65" spans="2:9" ht="15" thickBot="1" x14ac:dyDescent="0.35">
      <c r="B65" s="138"/>
      <c r="C65" s="138"/>
      <c r="D65" s="138">
        <v>1</v>
      </c>
      <c r="E65" s="138"/>
      <c r="F65" s="138"/>
      <c r="G65" s="138"/>
      <c r="H65" s="138"/>
      <c r="I65" s="130"/>
    </row>
    <row r="66" spans="2:9" ht="15" thickBot="1" x14ac:dyDescent="0.35">
      <c r="B66" s="138"/>
      <c r="C66" s="152" t="s">
        <v>74</v>
      </c>
      <c r="D66" s="157">
        <v>0.96</v>
      </c>
      <c r="E66" s="158"/>
      <c r="F66" s="158"/>
      <c r="G66" s="138"/>
      <c r="H66" s="138">
        <v>1</v>
      </c>
      <c r="I66" s="130" t="s">
        <v>68</v>
      </c>
    </row>
    <row r="67" spans="2:9" x14ac:dyDescent="0.3">
      <c r="B67" s="138"/>
      <c r="C67" s="138"/>
      <c r="D67" s="138"/>
      <c r="E67" s="138"/>
      <c r="F67" s="138"/>
      <c r="G67" s="138"/>
      <c r="H67" s="138"/>
      <c r="I67" s="130"/>
    </row>
    <row r="68" spans="2:9" x14ac:dyDescent="0.3">
      <c r="B68" s="149" t="s">
        <v>75</v>
      </c>
      <c r="C68" s="138" t="e">
        <f>+INDEX(D66:D66,MATCH(M13,C66:C66,0),MATCH(C6,D65,1))</f>
        <v>#REF!</v>
      </c>
      <c r="D68" s="138"/>
      <c r="E68" s="138"/>
      <c r="F68" s="138"/>
      <c r="G68" s="138"/>
      <c r="H68" s="138"/>
      <c r="I68" s="130"/>
    </row>
    <row r="69" spans="2:9" ht="15" thickBot="1" x14ac:dyDescent="0.35">
      <c r="B69" s="139"/>
      <c r="C69" s="139"/>
      <c r="D69" s="139"/>
      <c r="E69" s="139"/>
      <c r="F69" s="139"/>
      <c r="G69" s="139"/>
      <c r="H69" s="139"/>
      <c r="I69" s="151"/>
    </row>
    <row r="72" spans="2:9" ht="15" thickBot="1" x14ac:dyDescent="0.35"/>
    <row r="73" spans="2:9" x14ac:dyDescent="0.3">
      <c r="B73" s="134" t="s">
        <v>76</v>
      </c>
      <c r="C73" s="135"/>
      <c r="D73" s="135"/>
      <c r="E73" s="135"/>
      <c r="F73" s="135"/>
      <c r="G73" s="135"/>
      <c r="H73" s="135"/>
      <c r="I73" s="136"/>
    </row>
    <row r="74" spans="2:9" x14ac:dyDescent="0.3">
      <c r="B74" s="138"/>
      <c r="C74" s="138"/>
      <c r="D74" s="138"/>
      <c r="E74" s="138"/>
      <c r="F74" s="138"/>
      <c r="G74" s="138"/>
      <c r="H74" s="138"/>
      <c r="I74" s="130"/>
    </row>
    <row r="75" spans="2:9" ht="15" thickBot="1" x14ac:dyDescent="0.35">
      <c r="B75" s="138"/>
      <c r="C75" s="138"/>
      <c r="D75" s="138"/>
      <c r="E75" s="138"/>
      <c r="F75" s="138"/>
      <c r="G75" s="138"/>
      <c r="H75" s="138"/>
      <c r="I75" s="130"/>
    </row>
    <row r="76" spans="2:9" ht="15" thickBot="1" x14ac:dyDescent="0.35">
      <c r="B76" s="138"/>
      <c r="C76" s="152" t="s">
        <v>148</v>
      </c>
      <c r="D76" s="157">
        <v>0.94</v>
      </c>
      <c r="E76" s="158"/>
      <c r="F76" s="158"/>
      <c r="G76" s="138"/>
      <c r="H76" s="138"/>
      <c r="I76" s="130"/>
    </row>
    <row r="77" spans="2:9" x14ac:dyDescent="0.3">
      <c r="B77" s="138"/>
      <c r="C77" s="138"/>
      <c r="D77" s="138"/>
      <c r="E77" s="138"/>
      <c r="F77" s="138"/>
      <c r="G77" s="138"/>
      <c r="H77" s="138"/>
      <c r="I77" s="130"/>
    </row>
    <row r="78" spans="2:9" x14ac:dyDescent="0.3">
      <c r="B78" s="149"/>
      <c r="C78" s="138"/>
      <c r="D78" s="138"/>
      <c r="E78" s="138"/>
      <c r="F78" s="138"/>
      <c r="G78" s="138"/>
      <c r="H78" s="138"/>
      <c r="I78" s="130"/>
    </row>
    <row r="79" spans="2:9" ht="15" thickBot="1" x14ac:dyDescent="0.35">
      <c r="B79" s="139"/>
      <c r="C79" s="139"/>
      <c r="D79" s="139"/>
      <c r="E79" s="139"/>
      <c r="F79" s="139"/>
      <c r="G79" s="139"/>
      <c r="H79" s="139"/>
      <c r="I79" s="151"/>
    </row>
    <row r="84" spans="2:3" x14ac:dyDescent="0.3">
      <c r="B84" t="s">
        <v>77</v>
      </c>
    </row>
    <row r="85" spans="2:3" x14ac:dyDescent="0.3">
      <c r="B85" t="s">
        <v>57</v>
      </c>
      <c r="C85" t="e">
        <f>C20</f>
        <v>#REF!</v>
      </c>
    </row>
    <row r="86" spans="2:3" x14ac:dyDescent="0.3">
      <c r="B86" t="s">
        <v>65</v>
      </c>
      <c r="C86" t="e">
        <f>C33</f>
        <v>#REF!</v>
      </c>
    </row>
    <row r="87" spans="2:3" x14ac:dyDescent="0.3">
      <c r="B87" t="s">
        <v>78</v>
      </c>
      <c r="C87" t="e">
        <f>C48</f>
        <v>#REF!</v>
      </c>
    </row>
    <row r="88" spans="2:3" x14ac:dyDescent="0.3">
      <c r="B88" t="s">
        <v>79</v>
      </c>
      <c r="C88" t="e">
        <f>C58</f>
        <v>#REF!</v>
      </c>
    </row>
    <row r="89" spans="2:3" x14ac:dyDescent="0.3">
      <c r="B89" s="162" t="s">
        <v>74</v>
      </c>
      <c r="C89" t="e">
        <f>C68</f>
        <v>#REF!</v>
      </c>
    </row>
    <row r="90" spans="2:3" x14ac:dyDescent="0.3">
      <c r="B90" t="s">
        <v>80</v>
      </c>
      <c r="C90" s="163">
        <f>IF(OR('[1]Tiltag 1'!G17="Stenkul",'[1]Tiltag 1'!G17="Koks"),'[1]Virkningsgradsberegner 1'!D76,)</f>
        <v>0</v>
      </c>
    </row>
    <row r="91" spans="2:3" x14ac:dyDescent="0.3">
      <c r="B91" t="s">
        <v>81</v>
      </c>
      <c r="C91" t="e">
        <f>+INDEX(C85:C90,MATCH(C4,B85:B90,0))*100</f>
        <v>#REF!</v>
      </c>
    </row>
  </sheetData>
  <dataValidations count="1">
    <dataValidation type="list" allowBlank="1" showInputMessage="1" showErrorMessage="1" sqref="M20">
      <formula1>$M$13:$M$17</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2"/>
  <sheetViews>
    <sheetView workbookViewId="0">
      <selection activeCell="D23" sqref="D23"/>
    </sheetView>
  </sheetViews>
  <sheetFormatPr defaultRowHeight="14.4" x14ac:dyDescent="0.3"/>
  <cols>
    <col min="2" max="2" width="29.109375" bestFit="1" customWidth="1"/>
    <col min="3" max="3" width="27.44140625" bestFit="1" customWidth="1"/>
    <col min="4" max="4" width="27" bestFit="1" customWidth="1"/>
    <col min="5" max="5" width="29.109375" bestFit="1" customWidth="1"/>
    <col min="6" max="8" width="12.6640625" customWidth="1"/>
    <col min="9" max="9" width="22" customWidth="1"/>
    <col min="10" max="10" width="10.88671875" customWidth="1"/>
    <col min="11" max="11" width="11" bestFit="1" customWidth="1"/>
    <col min="14" max="14" width="26.33203125" customWidth="1"/>
    <col min="15" max="15" width="15.33203125" customWidth="1"/>
    <col min="16" max="16" width="14.5546875" customWidth="1"/>
    <col min="26" max="26" width="13.33203125" bestFit="1" customWidth="1"/>
  </cols>
  <sheetData>
    <row r="1" spans="2:28" x14ac:dyDescent="0.3">
      <c r="H1" s="164"/>
      <c r="I1" s="164"/>
      <c r="J1" s="164"/>
      <c r="K1" s="164"/>
    </row>
    <row r="2" spans="2:28" ht="18" x14ac:dyDescent="0.35">
      <c r="H2" s="164"/>
      <c r="I2" s="351"/>
      <c r="J2" s="351"/>
      <c r="K2" s="351"/>
      <c r="N2" s="352" t="s">
        <v>149</v>
      </c>
      <c r="O2" s="352"/>
      <c r="P2" s="352"/>
      <c r="Q2" s="352"/>
      <c r="R2" s="352"/>
      <c r="T2" t="s">
        <v>46</v>
      </c>
    </row>
    <row r="3" spans="2:28" x14ac:dyDescent="0.3">
      <c r="H3" s="164"/>
      <c r="I3" s="165"/>
      <c r="J3" s="165"/>
      <c r="K3" s="165"/>
      <c r="T3" t="s">
        <v>24</v>
      </c>
    </row>
    <row r="4" spans="2:28" x14ac:dyDescent="0.3">
      <c r="H4" s="164"/>
      <c r="I4" s="165"/>
      <c r="J4" s="165"/>
      <c r="K4" s="165"/>
    </row>
    <row r="5" spans="2:28" x14ac:dyDescent="0.3">
      <c r="C5" t="s">
        <v>55</v>
      </c>
      <c r="D5" t="s">
        <v>83</v>
      </c>
      <c r="E5" t="s">
        <v>150</v>
      </c>
      <c r="F5" t="s">
        <v>151</v>
      </c>
      <c r="G5" t="s">
        <v>32</v>
      </c>
      <c r="H5" s="164"/>
      <c r="I5" s="165"/>
      <c r="J5" s="165"/>
      <c r="K5" s="165"/>
    </row>
    <row r="6" spans="2:28" x14ac:dyDescent="0.3">
      <c r="B6" t="s">
        <v>152</v>
      </c>
      <c r="C6" t="e">
        <f>'Optimering af klimaskærm'!#REF!</f>
        <v>#REF!</v>
      </c>
      <c r="D6" t="e">
        <f ca="1">IF(C6="","",YEAR(TODAY())-C6)</f>
        <v>#REF!</v>
      </c>
      <c r="E6" s="166" t="e">
        <f>'Optimering af klimaskærm'!#REF!</f>
        <v>#REF!</v>
      </c>
      <c r="F6" s="167" t="e">
        <f>IF(G6="Naturgas/LNG/LPG",O19,IF(G6="Olie",O45,""))</f>
        <v>#REF!</v>
      </c>
      <c r="G6" s="75" t="e">
        <f>IF('Optimering af klimaskærm'!#REF!='VG beregner'!E102,"Naturgas/LNG/LPG",IF('Optimering af klimaskærm'!#REF!='VG beregner'!E103,"Olie",""))</f>
        <v>#REF!</v>
      </c>
      <c r="H6" s="168"/>
      <c r="I6" s="165"/>
      <c r="J6" s="165"/>
      <c r="K6" s="165"/>
    </row>
    <row r="7" spans="2:28" x14ac:dyDescent="0.3">
      <c r="E7" s="166"/>
      <c r="F7" s="167"/>
      <c r="G7" s="75"/>
      <c r="H7" s="168"/>
      <c r="I7" s="165"/>
      <c r="J7" s="165"/>
      <c r="K7" s="165"/>
    </row>
    <row r="8" spans="2:28" x14ac:dyDescent="0.3">
      <c r="F8" s="167"/>
      <c r="G8" s="75"/>
      <c r="H8" s="168"/>
      <c r="I8" s="165"/>
      <c r="J8" s="165"/>
      <c r="K8" s="165"/>
      <c r="N8" s="169" t="s">
        <v>65</v>
      </c>
    </row>
    <row r="9" spans="2:28" ht="15" thickBot="1" x14ac:dyDescent="0.35">
      <c r="F9" s="167"/>
      <c r="G9" s="75"/>
      <c r="H9" s="168"/>
      <c r="I9" s="165"/>
      <c r="J9" s="170"/>
      <c r="K9" s="165"/>
    </row>
    <row r="10" spans="2:28" ht="15" thickBot="1" x14ac:dyDescent="0.35">
      <c r="F10" s="167"/>
      <c r="G10" s="75"/>
      <c r="H10" s="168"/>
      <c r="I10" s="171"/>
      <c r="J10" s="171"/>
      <c r="K10" s="171"/>
      <c r="N10" s="172" t="s">
        <v>83</v>
      </c>
      <c r="O10" s="173" t="s">
        <v>151</v>
      </c>
      <c r="P10" s="174" t="s">
        <v>154</v>
      </c>
    </row>
    <row r="11" spans="2:28" ht="15" thickBot="1" x14ac:dyDescent="0.35">
      <c r="D11" t="str">
        <f t="shared" ref="D11:D14" ca="1" si="0">IF(C11="","",YEAR(TODAY())-C11)</f>
        <v/>
      </c>
      <c r="F11" s="167"/>
      <c r="G11" s="75"/>
      <c r="H11" s="167"/>
      <c r="I11" s="79"/>
      <c r="J11" s="79"/>
      <c r="K11" s="79"/>
      <c r="N11" s="175">
        <v>0</v>
      </c>
      <c r="O11" s="176">
        <v>0.97</v>
      </c>
      <c r="P11" s="177">
        <f>[1]Kalorifere!$N11*$N$28+0.9718</f>
        <v>0.9718</v>
      </c>
      <c r="Z11" s="178"/>
      <c r="AA11" s="179"/>
      <c r="AB11" s="180"/>
    </row>
    <row r="12" spans="2:28" x14ac:dyDescent="0.3">
      <c r="D12" t="str">
        <f t="shared" ca="1" si="0"/>
        <v/>
      </c>
      <c r="F12" s="167"/>
      <c r="G12" s="75"/>
      <c r="H12" s="167"/>
      <c r="N12" s="181">
        <v>10</v>
      </c>
      <c r="O12" s="182">
        <v>0.95</v>
      </c>
      <c r="P12" s="183">
        <f>[1]Kalorifere!$N12*$N$28+0.9718</f>
        <v>0.93968739021329983</v>
      </c>
      <c r="Z12" s="184"/>
      <c r="AA12" s="185"/>
      <c r="AB12" s="186"/>
    </row>
    <row r="13" spans="2:28" x14ac:dyDescent="0.3">
      <c r="D13" t="str">
        <f t="shared" ca="1" si="0"/>
        <v/>
      </c>
      <c r="F13" s="167" t="str">
        <f t="shared" ref="F13:F14" si="1">O25</f>
        <v/>
      </c>
      <c r="G13" s="167"/>
      <c r="H13" s="167"/>
      <c r="N13" s="187">
        <v>20</v>
      </c>
      <c r="O13" s="188">
        <v>0.92</v>
      </c>
      <c r="P13" s="189">
        <f>[1]Kalorifere!$N13*$N$28+0.9718</f>
        <v>0.90757478042659978</v>
      </c>
      <c r="Z13" s="190"/>
      <c r="AA13" s="76"/>
      <c r="AB13" s="191"/>
    </row>
    <row r="14" spans="2:28" x14ac:dyDescent="0.3">
      <c r="D14" t="str">
        <f t="shared" ca="1" si="0"/>
        <v/>
      </c>
      <c r="F14" s="167" t="str">
        <f t="shared" si="1"/>
        <v/>
      </c>
      <c r="G14" s="167"/>
      <c r="H14" s="167"/>
      <c r="N14" s="181">
        <v>30</v>
      </c>
      <c r="O14" s="182">
        <v>0.88</v>
      </c>
      <c r="P14" s="183">
        <f>[1]Kalorifere!$N14*$N$28+0.9718</f>
        <v>0.87546217063989962</v>
      </c>
      <c r="Z14" s="190"/>
      <c r="AA14" s="76"/>
      <c r="AB14" s="192"/>
    </row>
    <row r="15" spans="2:28" x14ac:dyDescent="0.3">
      <c r="F15" s="167"/>
      <c r="G15" s="167"/>
      <c r="H15" s="167"/>
      <c r="N15" s="187">
        <v>40</v>
      </c>
      <c r="O15" s="188">
        <v>0.83</v>
      </c>
      <c r="P15" s="189">
        <f>[1]Kalorifere!$N15*$N$28+0.9718</f>
        <v>0.84334956085319956</v>
      </c>
      <c r="Z15" s="190"/>
      <c r="AA15" s="76"/>
      <c r="AB15" s="192"/>
    </row>
    <row r="16" spans="2:28" x14ac:dyDescent="0.3">
      <c r="N16" s="181">
        <v>50</v>
      </c>
      <c r="O16" s="182">
        <v>0.77</v>
      </c>
      <c r="P16" s="183">
        <f>[1]Kalorifere!$N16*$N$28+0.9718</f>
        <v>0.8112369510664994</v>
      </c>
      <c r="Z16" s="190"/>
      <c r="AA16" s="76"/>
      <c r="AB16" s="192"/>
    </row>
    <row r="17" spans="2:28" ht="15" thickBot="1" x14ac:dyDescent="0.35">
      <c r="E17" s="166"/>
      <c r="F17" s="167"/>
      <c r="G17" s="167"/>
      <c r="H17" s="167"/>
      <c r="N17" s="193">
        <v>72</v>
      </c>
      <c r="O17" s="194">
        <v>0.77</v>
      </c>
      <c r="P17" s="195">
        <f>[1]Kalorifere!$N17*$N$28+0.9718</f>
        <v>0.74058920953575913</v>
      </c>
      <c r="Z17" s="190"/>
      <c r="AA17" s="76"/>
      <c r="AB17" s="192"/>
    </row>
    <row r="18" spans="2:28" ht="15" thickBot="1" x14ac:dyDescent="0.35">
      <c r="B18" t="str">
        <f>IF('[1]tiltag 6'!C18="Vandbåren","","Naturgas/LNG/LPG")</f>
        <v>Naturgas/LNG/LPG</v>
      </c>
      <c r="C18" t="str">
        <f>IF('[1]tiltag 6'!G18="Vandbåren","","Naturgas/LNG/LPG")</f>
        <v>Naturgas/LNG/LPG</v>
      </c>
      <c r="D18" t="str">
        <f>IF('[1]tiltag 6'!K18="Vandbåren","","Naturgas/LNG/LPG")</f>
        <v>Naturgas/LNG/LPG</v>
      </c>
      <c r="Z18" s="196"/>
      <c r="AA18" s="197"/>
      <c r="AB18" s="192"/>
    </row>
    <row r="19" spans="2:28" x14ac:dyDescent="0.3">
      <c r="B19" t="str">
        <f>IF('[1]tiltag 6'!C18="Vandbåren","","Olie")</f>
        <v>Olie</v>
      </c>
      <c r="C19" t="str">
        <f>IF('[1]tiltag 6'!G18="Vandbåren","","Olie")</f>
        <v>Olie</v>
      </c>
      <c r="D19" t="str">
        <f>IF('[1]tiltag 6'!K18="Vandbåren","","Olie")</f>
        <v>Olie</v>
      </c>
      <c r="M19">
        <v>1</v>
      </c>
      <c r="N19" t="s">
        <v>155</v>
      </c>
      <c r="O19" s="198" t="e">
        <f ca="1">IF(D6&gt;60,0.77,TREND($O$11:$O$17,$N$11:$N$17,D6))</f>
        <v>#REF!</v>
      </c>
      <c r="P19" s="199" t="e">
        <f ca="1">-0.0375*D6+1.02</f>
        <v>#REF!</v>
      </c>
    </row>
    <row r="20" spans="2:28" x14ac:dyDescent="0.3">
      <c r="M20">
        <v>2</v>
      </c>
      <c r="N20" t="s">
        <v>151</v>
      </c>
      <c r="O20" s="198" t="str">
        <f>IF(C8="","",IF(D8&gt;60,0.77,TREND(O11:O17,N11:N17,D8)))</f>
        <v/>
      </c>
      <c r="Y20">
        <v>1</v>
      </c>
      <c r="AA20" s="198"/>
    </row>
    <row r="21" spans="2:28" x14ac:dyDescent="0.3">
      <c r="B21" t="s">
        <v>153</v>
      </c>
      <c r="M21">
        <v>3</v>
      </c>
      <c r="N21" t="s">
        <v>151</v>
      </c>
      <c r="O21" s="198" t="e">
        <f>IF(D9&gt;60,0.77,TREND($O$11:$O$17,$N$11:$N$17,D9))</f>
        <v>#VALUE!</v>
      </c>
      <c r="Y21">
        <v>2</v>
      </c>
      <c r="AA21" s="198"/>
    </row>
    <row r="22" spans="2:28" x14ac:dyDescent="0.3">
      <c r="B22" t="s">
        <v>156</v>
      </c>
      <c r="M22">
        <v>4</v>
      </c>
      <c r="O22" s="198" t="e">
        <f>IF(D10&gt;60,0.77,TREND($O$11:$O$17,$N$11:$N$17,D10))</f>
        <v>#VALUE!</v>
      </c>
      <c r="Y22">
        <v>3</v>
      </c>
      <c r="AA22" s="198"/>
    </row>
    <row r="23" spans="2:28" x14ac:dyDescent="0.3">
      <c r="M23">
        <v>5</v>
      </c>
      <c r="N23" t="s">
        <v>157</v>
      </c>
      <c r="O23" s="198" t="e">
        <f>IF(D7&gt;60,0.77,TREND($O$11:$O$17,$N$11:$N$17,D7))</f>
        <v>#VALUE!</v>
      </c>
    </row>
    <row r="24" spans="2:28" x14ac:dyDescent="0.3">
      <c r="M24">
        <v>6</v>
      </c>
      <c r="O24" s="198"/>
    </row>
    <row r="25" spans="2:28" x14ac:dyDescent="0.3">
      <c r="O25" s="186" t="str">
        <f>IF(C13="","",IF(D13&gt;60,0.8,TREND($O$11:$O$17,$N$11:$N$17,D13)))</f>
        <v/>
      </c>
    </row>
    <row r="26" spans="2:28" x14ac:dyDescent="0.3">
      <c r="O26" s="186" t="str">
        <f>IF(C14="","",IF(D14&gt;60,0.8,TREND($O$11:$O$17,$N$11:$N$17,D14)))</f>
        <v/>
      </c>
    </row>
    <row r="27" spans="2:28" x14ac:dyDescent="0.3">
      <c r="O27" s="186" t="str">
        <f>IF(C15="","",IF(D15&gt;60,0.8,TREND($O$11:$O$17,$N$11:$N$17,D15)))</f>
        <v/>
      </c>
    </row>
    <row r="28" spans="2:28" x14ac:dyDescent="0.3">
      <c r="B28" t="s">
        <v>158</v>
      </c>
      <c r="C28">
        <f ca="1">YEAR(TODAY())</f>
        <v>2023</v>
      </c>
      <c r="N28">
        <f>LINEST([1]Kalorifere!$O$11:$O$17,[1]Kalorifere!$N$11:$N$17)</f>
        <v>-3.2112609786700114E-3</v>
      </c>
      <c r="O28" s="186" t="str">
        <f>IF(C16="","",IF(D16&gt;60,0.8,TREND($O$11:$O$17,$N$11:$N$17,D16)))</f>
        <v/>
      </c>
    </row>
    <row r="31" spans="2:28" x14ac:dyDescent="0.3">
      <c r="E31" s="199"/>
    </row>
    <row r="33" spans="1:20" x14ac:dyDescent="0.3">
      <c r="N33" s="169" t="s">
        <v>57</v>
      </c>
    </row>
    <row r="34" spans="1:20" ht="15" thickBot="1" x14ac:dyDescent="0.35"/>
    <row r="35" spans="1:20" ht="15" thickBot="1" x14ac:dyDescent="0.35">
      <c r="N35" s="172" t="s">
        <v>83</v>
      </c>
      <c r="O35" s="173" t="s">
        <v>151</v>
      </c>
      <c r="P35" s="200" t="s">
        <v>154</v>
      </c>
    </row>
    <row r="36" spans="1:20" x14ac:dyDescent="0.3">
      <c r="N36" s="175">
        <v>0</v>
      </c>
      <c r="O36" s="176">
        <v>0.95</v>
      </c>
      <c r="P36" s="201"/>
    </row>
    <row r="37" spans="1:20" x14ac:dyDescent="0.3">
      <c r="E37" s="199"/>
      <c r="G37" s="199"/>
      <c r="H37" s="199"/>
      <c r="I37" s="198"/>
      <c r="N37" s="181">
        <v>10</v>
      </c>
      <c r="O37" s="182">
        <v>0.92</v>
      </c>
      <c r="P37" s="202"/>
    </row>
    <row r="38" spans="1:20" x14ac:dyDescent="0.3">
      <c r="E38" s="199"/>
      <c r="G38" s="199"/>
      <c r="H38" s="199"/>
      <c r="I38" s="198"/>
      <c r="N38" s="187">
        <v>20</v>
      </c>
      <c r="O38" s="188">
        <v>0.88</v>
      </c>
      <c r="P38" s="203"/>
    </row>
    <row r="39" spans="1:20" x14ac:dyDescent="0.3">
      <c r="E39" s="199"/>
      <c r="G39" s="199"/>
      <c r="H39" s="199"/>
      <c r="I39" s="198"/>
      <c r="N39" s="181">
        <v>30</v>
      </c>
      <c r="O39" s="182">
        <v>0.83</v>
      </c>
      <c r="P39" s="202"/>
      <c r="R39">
        <f>LINEST([1]Kalorifere!$O$36:$O$42,[1]Kalorifere!$N$36:$N$42)</f>
        <v>-3.6464868255959861E-3</v>
      </c>
    </row>
    <row r="40" spans="1:20" x14ac:dyDescent="0.3">
      <c r="E40" s="199"/>
      <c r="G40" s="199"/>
      <c r="H40" s="199"/>
      <c r="I40" s="198"/>
      <c r="N40" s="187">
        <v>40</v>
      </c>
      <c r="O40" s="188">
        <v>0.77</v>
      </c>
      <c r="P40" s="203"/>
    </row>
    <row r="41" spans="1:20" x14ac:dyDescent="0.3">
      <c r="E41" s="199"/>
      <c r="G41" s="199"/>
      <c r="H41" s="199"/>
      <c r="I41" s="198"/>
      <c r="N41" s="181">
        <v>50</v>
      </c>
      <c r="O41" s="182">
        <v>0.72</v>
      </c>
      <c r="P41" s="202"/>
    </row>
    <row r="42" spans="1:20" ht="15" thickBot="1" x14ac:dyDescent="0.35">
      <c r="E42" s="199"/>
      <c r="G42" s="199"/>
      <c r="H42" s="199"/>
      <c r="I42" s="198"/>
      <c r="N42" s="193">
        <v>72</v>
      </c>
      <c r="O42" s="194">
        <v>0.72</v>
      </c>
      <c r="P42" s="204"/>
    </row>
    <row r="43" spans="1:20" x14ac:dyDescent="0.3">
      <c r="E43" s="199"/>
      <c r="G43" s="199"/>
      <c r="H43" s="199"/>
      <c r="I43" s="198"/>
    </row>
    <row r="44" spans="1:20" x14ac:dyDescent="0.3">
      <c r="E44" s="199"/>
      <c r="G44" s="199"/>
      <c r="H44" s="199"/>
      <c r="I44" s="198"/>
      <c r="N44" t="s">
        <v>159</v>
      </c>
      <c r="O44" s="186"/>
    </row>
    <row r="45" spans="1:20" x14ac:dyDescent="0.3">
      <c r="E45" s="199"/>
      <c r="G45" s="199"/>
      <c r="H45" s="199"/>
      <c r="I45" s="198"/>
      <c r="M45">
        <v>1</v>
      </c>
      <c r="N45" t="s">
        <v>151</v>
      </c>
      <c r="O45" s="199" t="e">
        <f ca="1">IF(D6="","",IF(D6&gt;60,0.72,TREND($O$36:$O$42,$N$36:$N$42,D6)))</f>
        <v>#REF!</v>
      </c>
    </row>
    <row r="46" spans="1:20" x14ac:dyDescent="0.3">
      <c r="E46" s="199"/>
      <c r="G46" s="199"/>
      <c r="H46" s="199"/>
      <c r="I46" s="198"/>
      <c r="M46">
        <v>2</v>
      </c>
      <c r="N46" t="s">
        <v>151</v>
      </c>
      <c r="O46" s="199" t="str">
        <f>IF(D8="","",IF(D8&gt;60,0.72,TREND($O$36:$O$42,$N$36:$N$42,D8)))</f>
        <v/>
      </c>
    </row>
    <row r="47" spans="1:20" x14ac:dyDescent="0.3">
      <c r="E47" s="199"/>
      <c r="G47" s="199"/>
      <c r="H47" s="199"/>
      <c r="I47" s="198"/>
      <c r="M47">
        <v>3</v>
      </c>
      <c r="N47" t="s">
        <v>151</v>
      </c>
      <c r="O47" s="199" t="str">
        <f>IF(D9="","",IF(D9&gt;60,0.72,TREND($O$36:$O$42,$N$36:$N$42,D9)))</f>
        <v/>
      </c>
      <c r="T47" s="205"/>
    </row>
    <row r="48" spans="1:20" x14ac:dyDescent="0.3">
      <c r="A48" s="206"/>
      <c r="B48" s="207"/>
      <c r="C48" s="205"/>
      <c r="D48" s="205"/>
      <c r="E48" s="199"/>
      <c r="F48" s="205"/>
      <c r="G48" s="199"/>
      <c r="H48" s="199"/>
      <c r="I48" s="198"/>
      <c r="J48" s="205"/>
      <c r="K48" s="205"/>
      <c r="M48">
        <v>4</v>
      </c>
      <c r="N48" t="s">
        <v>151</v>
      </c>
      <c r="O48" s="199" t="str">
        <f>IF(D10="","",IF(D10&gt;60,0.72,TREND($O$36:$O$42,$N$36:$N$42,D10)))</f>
        <v/>
      </c>
      <c r="T48" s="205"/>
    </row>
    <row r="49" spans="1:20" x14ac:dyDescent="0.3">
      <c r="A49" s="206"/>
      <c r="B49" s="207"/>
      <c r="C49" s="205"/>
      <c r="D49" s="205"/>
      <c r="E49" s="199"/>
      <c r="F49" s="205"/>
      <c r="G49" s="199"/>
      <c r="H49" s="199"/>
      <c r="I49" s="198"/>
      <c r="J49" s="205"/>
      <c r="K49" s="205"/>
      <c r="N49" t="s">
        <v>157</v>
      </c>
      <c r="O49" s="199" t="str">
        <f>IF(D7="","",IF(D7&gt;60,0.72,TREND($O$36:$O$42,$N$36:$N$42,D7)))</f>
        <v/>
      </c>
      <c r="T49" s="208"/>
    </row>
    <row r="50" spans="1:20" x14ac:dyDescent="0.3">
      <c r="A50" s="206"/>
      <c r="B50" s="207"/>
      <c r="C50" s="205"/>
      <c r="D50" s="205"/>
      <c r="E50" s="199"/>
      <c r="F50" s="208"/>
      <c r="G50" s="199"/>
      <c r="H50" s="199"/>
      <c r="I50" s="198"/>
      <c r="J50" s="208"/>
      <c r="K50" s="208"/>
      <c r="N50">
        <f>LINEST(O36:O42,N36:N42)</f>
        <v>-3.6464868255959861E-3</v>
      </c>
      <c r="O50" s="199"/>
      <c r="T50" s="208"/>
    </row>
    <row r="51" spans="1:20" x14ac:dyDescent="0.3">
      <c r="A51" s="206"/>
      <c r="B51" s="207"/>
      <c r="C51" s="205"/>
      <c r="D51" s="205"/>
      <c r="E51" s="199"/>
      <c r="F51" s="208"/>
      <c r="G51" s="199"/>
      <c r="H51" s="199"/>
      <c r="I51" s="198"/>
      <c r="J51" s="208"/>
      <c r="K51" s="208"/>
      <c r="T51" s="205"/>
    </row>
    <row r="52" spans="1:20" x14ac:dyDescent="0.3">
      <c r="A52" s="206"/>
      <c r="B52" s="207"/>
      <c r="C52" s="205"/>
      <c r="D52" s="205"/>
      <c r="E52" s="199"/>
      <c r="F52" s="205"/>
      <c r="G52" s="199"/>
      <c r="H52" s="199"/>
      <c r="I52" s="198"/>
      <c r="J52" s="205"/>
      <c r="K52" s="209"/>
      <c r="M52">
        <v>0</v>
      </c>
      <c r="N52" s="210">
        <f>F37*$N$50+0.97</f>
        <v>0.97</v>
      </c>
      <c r="T52" s="205"/>
    </row>
    <row r="53" spans="1:20" x14ac:dyDescent="0.3">
      <c r="A53" s="206"/>
      <c r="B53" s="207"/>
      <c r="C53" s="205"/>
      <c r="D53" s="205"/>
      <c r="E53" s="199"/>
      <c r="F53" s="205"/>
      <c r="G53" s="199"/>
      <c r="H53" s="199"/>
      <c r="I53" s="198"/>
      <c r="J53" s="205"/>
      <c r="K53" s="205"/>
      <c r="M53">
        <v>1</v>
      </c>
      <c r="N53" s="210">
        <f t="shared" ref="N53:N61" si="2">F38*$N$50+0.97</f>
        <v>0.97</v>
      </c>
      <c r="T53" s="205"/>
    </row>
    <row r="54" spans="1:20" x14ac:dyDescent="0.3">
      <c r="A54" s="206"/>
      <c r="B54" s="207"/>
      <c r="C54" s="205"/>
      <c r="D54" s="205"/>
      <c r="E54" s="199"/>
      <c r="F54" s="205"/>
      <c r="G54" s="199"/>
      <c r="H54" s="199"/>
      <c r="I54" s="198"/>
      <c r="J54" s="205"/>
      <c r="K54" s="205"/>
      <c r="M54">
        <v>2</v>
      </c>
      <c r="N54" s="210">
        <f t="shared" si="2"/>
        <v>0.97</v>
      </c>
      <c r="T54" s="205"/>
    </row>
    <row r="55" spans="1:20" x14ac:dyDescent="0.3">
      <c r="A55" s="206"/>
      <c r="B55" s="207"/>
      <c r="C55" s="205"/>
      <c r="D55" s="205"/>
      <c r="E55" s="199"/>
      <c r="F55" s="205"/>
      <c r="G55" s="199"/>
      <c r="H55" s="199"/>
      <c r="I55" s="198"/>
      <c r="J55" s="205"/>
      <c r="K55" s="205"/>
      <c r="M55">
        <v>3</v>
      </c>
      <c r="N55" s="210">
        <f t="shared" si="2"/>
        <v>0.97</v>
      </c>
      <c r="T55" s="205"/>
    </row>
    <row r="56" spans="1:20" x14ac:dyDescent="0.3">
      <c r="A56" s="206"/>
      <c r="B56" s="207"/>
      <c r="C56" s="205"/>
      <c r="D56" s="205"/>
      <c r="E56" s="199"/>
      <c r="F56" s="205"/>
      <c r="G56" s="199"/>
      <c r="H56" s="199"/>
      <c r="I56" s="198"/>
      <c r="J56" s="205"/>
      <c r="K56" s="205"/>
      <c r="M56">
        <v>4</v>
      </c>
      <c r="N56" s="210">
        <f t="shared" si="2"/>
        <v>0.97</v>
      </c>
      <c r="T56" s="205"/>
    </row>
    <row r="57" spans="1:20" x14ac:dyDescent="0.3">
      <c r="A57" s="206"/>
      <c r="B57" s="207"/>
      <c r="C57" s="205"/>
      <c r="D57" s="205"/>
      <c r="E57" s="199"/>
      <c r="F57" s="205"/>
      <c r="G57" s="199"/>
      <c r="H57" s="199"/>
      <c r="I57" s="198"/>
      <c r="J57" s="205"/>
      <c r="K57" s="205"/>
      <c r="M57">
        <v>5</v>
      </c>
      <c r="N57" s="210">
        <f t="shared" si="2"/>
        <v>0.97</v>
      </c>
      <c r="T57" s="205"/>
    </row>
    <row r="58" spans="1:20" x14ac:dyDescent="0.3">
      <c r="A58" s="206"/>
      <c r="B58" s="207"/>
      <c r="C58" s="205"/>
      <c r="D58" s="205"/>
      <c r="E58" s="199"/>
      <c r="F58" s="205"/>
      <c r="G58" s="199"/>
      <c r="H58" s="199"/>
      <c r="I58" s="198"/>
      <c r="J58" s="205"/>
      <c r="K58" s="205"/>
      <c r="M58">
        <v>6</v>
      </c>
      <c r="N58" s="210">
        <f t="shared" si="2"/>
        <v>0.97</v>
      </c>
      <c r="T58" s="205"/>
    </row>
    <row r="59" spans="1:20" x14ac:dyDescent="0.3">
      <c r="A59" s="206"/>
      <c r="B59" s="207"/>
      <c r="C59" s="205"/>
      <c r="D59" s="205"/>
      <c r="E59" s="199"/>
      <c r="F59" s="205"/>
      <c r="G59" s="199"/>
      <c r="H59" s="199"/>
      <c r="I59" s="198"/>
      <c r="J59" s="205"/>
      <c r="K59" s="205"/>
      <c r="M59">
        <v>7</v>
      </c>
      <c r="N59" s="210">
        <f t="shared" si="2"/>
        <v>0.97</v>
      </c>
      <c r="T59" s="205"/>
    </row>
    <row r="60" spans="1:20" x14ac:dyDescent="0.3">
      <c r="A60" s="206"/>
      <c r="B60" s="207"/>
      <c r="C60" s="205"/>
      <c r="D60" s="205"/>
      <c r="E60" s="199"/>
      <c r="F60" s="205"/>
      <c r="G60" s="199"/>
      <c r="H60" s="199"/>
      <c r="I60" s="198"/>
      <c r="J60" s="205"/>
      <c r="K60" s="205"/>
      <c r="M60">
        <v>8</v>
      </c>
      <c r="N60" s="210">
        <f t="shared" si="2"/>
        <v>0.97</v>
      </c>
      <c r="T60" s="205"/>
    </row>
    <row r="61" spans="1:20" x14ac:dyDescent="0.3">
      <c r="A61" s="206"/>
      <c r="B61" s="207"/>
      <c r="C61" s="205"/>
      <c r="D61" s="205"/>
      <c r="E61" s="199"/>
      <c r="F61" s="205"/>
      <c r="G61" s="199"/>
      <c r="H61" s="199"/>
      <c r="I61" s="198"/>
      <c r="J61" s="205"/>
      <c r="K61" s="205"/>
      <c r="M61">
        <v>9</v>
      </c>
      <c r="N61" s="210">
        <f t="shared" si="2"/>
        <v>0.97</v>
      </c>
      <c r="T61" s="205"/>
    </row>
    <row r="62" spans="1:20" x14ac:dyDescent="0.3">
      <c r="A62" s="206"/>
      <c r="B62" s="207"/>
      <c r="C62" s="205"/>
      <c r="D62" s="205"/>
      <c r="E62" s="199"/>
      <c r="F62" s="205"/>
      <c r="G62" s="199"/>
      <c r="H62" s="199"/>
      <c r="I62" s="198"/>
      <c r="J62" s="205"/>
      <c r="K62" s="205"/>
      <c r="M62">
        <v>10</v>
      </c>
      <c r="N62" s="210">
        <f>F47*$N$50+0.97</f>
        <v>0.97</v>
      </c>
      <c r="T62" s="205"/>
    </row>
    <row r="63" spans="1:20" x14ac:dyDescent="0.3">
      <c r="A63" s="206"/>
      <c r="B63" s="207"/>
      <c r="C63" s="205"/>
      <c r="D63" s="205"/>
      <c r="E63" s="199"/>
      <c r="F63" s="205"/>
      <c r="G63" s="199"/>
      <c r="H63" s="199"/>
      <c r="I63" s="198"/>
      <c r="J63" s="205"/>
      <c r="K63" s="205"/>
      <c r="T63" s="205"/>
    </row>
    <row r="64" spans="1:20" x14ac:dyDescent="0.3">
      <c r="A64" s="206"/>
      <c r="B64" s="207"/>
      <c r="C64" s="205"/>
      <c r="D64" s="205"/>
      <c r="E64" s="199"/>
      <c r="F64" s="205"/>
      <c r="G64" s="199"/>
      <c r="H64" s="199"/>
      <c r="I64" s="198"/>
      <c r="J64" s="205"/>
      <c r="K64" s="205"/>
      <c r="T64" s="205"/>
    </row>
    <row r="65" spans="1:20" x14ac:dyDescent="0.3">
      <c r="A65" s="206"/>
      <c r="B65" s="207"/>
      <c r="C65" s="205"/>
      <c r="D65" s="205"/>
      <c r="E65" s="199"/>
      <c r="F65" s="205"/>
      <c r="G65" s="199"/>
      <c r="H65" s="199"/>
      <c r="I65" s="198"/>
      <c r="J65" s="205"/>
      <c r="K65" s="205"/>
      <c r="T65" s="205"/>
    </row>
    <row r="66" spans="1:20" x14ac:dyDescent="0.3">
      <c r="A66" s="206"/>
      <c r="B66" s="207"/>
      <c r="C66" s="205"/>
      <c r="D66" s="205"/>
      <c r="E66" s="199"/>
      <c r="F66" s="205"/>
      <c r="G66" s="199"/>
      <c r="H66" s="199"/>
      <c r="I66" s="198"/>
      <c r="J66" s="205"/>
      <c r="K66" s="205"/>
      <c r="M66" t="e">
        <f>LINEST(G37:G67,F37:F67)</f>
        <v>#VALUE!</v>
      </c>
      <c r="T66" s="205"/>
    </row>
    <row r="67" spans="1:20" x14ac:dyDescent="0.3">
      <c r="A67" s="206"/>
      <c r="B67" s="207"/>
      <c r="C67" s="205"/>
      <c r="D67" s="205"/>
      <c r="E67" s="199"/>
      <c r="F67" s="205"/>
      <c r="G67" s="199"/>
      <c r="H67" s="199"/>
      <c r="I67" s="198"/>
      <c r="J67" s="205"/>
      <c r="K67" s="205"/>
      <c r="T67" s="205"/>
    </row>
    <row r="68" spans="1:20" x14ac:dyDescent="0.3">
      <c r="A68" s="206"/>
      <c r="B68" s="207"/>
      <c r="C68" s="205"/>
      <c r="D68" s="205"/>
      <c r="E68" s="199"/>
      <c r="F68" s="205"/>
      <c r="G68" s="211"/>
      <c r="H68" s="211"/>
      <c r="I68" s="205"/>
      <c r="J68" s="205"/>
      <c r="K68" s="205"/>
      <c r="T68" s="205"/>
    </row>
    <row r="69" spans="1:20" x14ac:dyDescent="0.3">
      <c r="A69" s="206"/>
      <c r="B69" s="207"/>
      <c r="C69" s="205"/>
      <c r="D69" s="205"/>
      <c r="E69" s="199"/>
      <c r="F69" s="205"/>
      <c r="G69" s="211"/>
      <c r="H69" s="211"/>
      <c r="I69" s="205"/>
      <c r="J69" s="205"/>
      <c r="K69" s="205"/>
      <c r="T69" s="205"/>
    </row>
    <row r="70" spans="1:20" x14ac:dyDescent="0.3">
      <c r="A70" s="206"/>
      <c r="B70" s="207"/>
      <c r="C70" s="205"/>
      <c r="E70" s="199"/>
      <c r="F70" s="205"/>
      <c r="G70" s="211"/>
      <c r="H70" s="211"/>
      <c r="I70" s="205"/>
      <c r="J70" s="205"/>
      <c r="K70" s="205"/>
      <c r="T70" s="205"/>
    </row>
    <row r="71" spans="1:20" x14ac:dyDescent="0.3">
      <c r="A71" s="206"/>
      <c r="B71" s="138"/>
      <c r="E71" s="199"/>
      <c r="F71" s="205"/>
      <c r="G71" s="211"/>
      <c r="H71" s="211"/>
      <c r="I71" s="205"/>
      <c r="J71" s="205"/>
      <c r="K71" s="205"/>
      <c r="T71" s="205"/>
    </row>
    <row r="72" spans="1:20" x14ac:dyDescent="0.3">
      <c r="A72" s="206"/>
      <c r="B72" s="212"/>
      <c r="C72" s="205"/>
      <c r="E72" s="199"/>
      <c r="F72" s="205"/>
      <c r="G72" s="211"/>
      <c r="H72" s="211"/>
      <c r="I72" s="205"/>
      <c r="J72" s="205"/>
      <c r="K72" s="205"/>
      <c r="T72" s="213"/>
    </row>
    <row r="73" spans="1:20" x14ac:dyDescent="0.3">
      <c r="A73" s="206"/>
      <c r="B73" s="138"/>
      <c r="C73" s="205"/>
      <c r="E73" s="199"/>
      <c r="F73" s="213"/>
      <c r="G73" s="211"/>
      <c r="H73" s="211"/>
      <c r="I73" s="205"/>
      <c r="J73" s="214"/>
      <c r="K73" s="205"/>
      <c r="T73" s="213"/>
    </row>
    <row r="74" spans="1:20" x14ac:dyDescent="0.3">
      <c r="A74" s="206"/>
      <c r="B74" s="138"/>
      <c r="E74" s="199"/>
      <c r="F74" s="213"/>
      <c r="G74" s="211"/>
      <c r="H74" s="211"/>
      <c r="I74" s="205"/>
      <c r="J74" s="214"/>
      <c r="K74" s="205"/>
      <c r="T74" s="213"/>
    </row>
    <row r="75" spans="1:20" x14ac:dyDescent="0.3">
      <c r="A75" s="206"/>
      <c r="B75" s="138"/>
      <c r="C75" s="205"/>
      <c r="E75" s="199"/>
      <c r="F75" s="213"/>
      <c r="G75" s="211"/>
      <c r="H75" s="211"/>
      <c r="I75" s="205"/>
      <c r="J75" s="214"/>
      <c r="K75" s="205"/>
      <c r="T75" s="213"/>
    </row>
    <row r="76" spans="1:20" x14ac:dyDescent="0.3">
      <c r="A76" s="206"/>
      <c r="B76" s="138"/>
      <c r="C76" s="205"/>
      <c r="E76" s="199"/>
      <c r="F76" s="213"/>
      <c r="G76" s="211"/>
      <c r="H76" s="211"/>
      <c r="I76" s="205"/>
      <c r="J76" s="205"/>
      <c r="K76" s="205"/>
      <c r="T76" s="215"/>
    </row>
    <row r="77" spans="1:20" x14ac:dyDescent="0.3">
      <c r="A77" s="206"/>
      <c r="B77" s="138"/>
      <c r="E77" s="199"/>
      <c r="F77" s="215"/>
      <c r="G77" s="216"/>
      <c r="H77" s="216"/>
      <c r="I77" s="217"/>
      <c r="K77" s="205"/>
      <c r="T77" s="215"/>
    </row>
    <row r="78" spans="1:20" x14ac:dyDescent="0.3">
      <c r="A78" s="206"/>
      <c r="B78" s="138"/>
      <c r="C78" s="205"/>
      <c r="E78" s="199"/>
      <c r="F78" s="215"/>
      <c r="G78" s="216"/>
      <c r="H78" s="216"/>
      <c r="I78" s="217"/>
      <c r="K78" s="205"/>
      <c r="T78" s="215"/>
    </row>
    <row r="79" spans="1:20" x14ac:dyDescent="0.3">
      <c r="A79" s="206"/>
      <c r="B79" s="138"/>
      <c r="C79" s="205"/>
      <c r="D79" s="164"/>
      <c r="E79" s="199"/>
      <c r="F79" s="215"/>
      <c r="G79" s="216"/>
      <c r="H79" s="216"/>
      <c r="I79" s="217"/>
      <c r="K79" s="205"/>
      <c r="T79" s="215"/>
    </row>
    <row r="80" spans="1:20" x14ac:dyDescent="0.3">
      <c r="A80" s="206"/>
      <c r="B80" s="207"/>
      <c r="C80" s="205"/>
      <c r="D80" s="218"/>
      <c r="E80" s="199"/>
      <c r="F80" s="215"/>
      <c r="G80" s="216"/>
      <c r="H80" s="216"/>
      <c r="I80" s="217"/>
      <c r="K80" s="205"/>
      <c r="T80" s="215"/>
    </row>
    <row r="81" spans="1:20" x14ac:dyDescent="0.3">
      <c r="A81" s="206"/>
      <c r="B81" s="207"/>
      <c r="C81" s="205"/>
      <c r="D81" s="218"/>
      <c r="E81" s="199"/>
      <c r="F81" s="215"/>
      <c r="G81" s="216"/>
      <c r="H81" s="216"/>
      <c r="I81" s="217"/>
      <c r="K81" s="205"/>
      <c r="T81" s="215"/>
    </row>
    <row r="82" spans="1:20" x14ac:dyDescent="0.3">
      <c r="A82" s="206"/>
      <c r="B82" s="207"/>
      <c r="C82" s="205"/>
      <c r="D82" s="218"/>
      <c r="E82" s="199"/>
      <c r="F82" s="215"/>
      <c r="G82" s="216"/>
      <c r="H82" s="216"/>
      <c r="I82" s="217"/>
      <c r="K82" s="205"/>
      <c r="T82" s="215"/>
    </row>
    <row r="83" spans="1:20" x14ac:dyDescent="0.3">
      <c r="A83" s="206"/>
      <c r="B83" s="207"/>
      <c r="C83" s="205"/>
      <c r="D83" s="218"/>
      <c r="E83" s="199"/>
      <c r="F83" s="215"/>
      <c r="G83" s="216"/>
      <c r="H83" s="216"/>
      <c r="I83" s="217"/>
      <c r="K83" s="205"/>
      <c r="T83" s="215"/>
    </row>
    <row r="84" spans="1:20" x14ac:dyDescent="0.3">
      <c r="A84" s="219"/>
      <c r="B84" s="207"/>
      <c r="C84" s="205"/>
      <c r="D84" s="220"/>
      <c r="E84" s="199"/>
      <c r="F84" s="215"/>
      <c r="G84" s="216"/>
      <c r="H84" s="216"/>
      <c r="I84" s="217"/>
      <c r="K84" s="205"/>
      <c r="T84" s="205"/>
    </row>
    <row r="85" spans="1:20" x14ac:dyDescent="0.3">
      <c r="A85" s="138"/>
      <c r="B85" s="207"/>
      <c r="C85" s="205"/>
      <c r="D85" s="205"/>
      <c r="E85" s="199"/>
      <c r="F85" s="205"/>
      <c r="G85" s="211"/>
      <c r="H85" s="211"/>
      <c r="I85" s="217"/>
      <c r="T85" s="205"/>
    </row>
    <row r="86" spans="1:20" x14ac:dyDescent="0.3">
      <c r="A86" s="138"/>
      <c r="B86" s="207"/>
      <c r="C86" s="205"/>
      <c r="D86" s="205"/>
      <c r="E86" s="199"/>
      <c r="F86" s="205"/>
      <c r="G86" s="211"/>
      <c r="H86" s="211"/>
      <c r="I86" s="217"/>
      <c r="T86" s="221"/>
    </row>
    <row r="87" spans="1:20" x14ac:dyDescent="0.3">
      <c r="A87" s="138"/>
      <c r="B87" s="207"/>
      <c r="C87" s="205"/>
      <c r="D87" s="205"/>
      <c r="E87" s="199"/>
      <c r="F87" s="221"/>
      <c r="G87" s="222"/>
      <c r="H87" s="222"/>
    </row>
    <row r="88" spans="1:20" x14ac:dyDescent="0.3">
      <c r="A88" s="138"/>
      <c r="B88" s="207"/>
      <c r="C88" s="205"/>
      <c r="D88" s="205"/>
      <c r="E88" s="205"/>
      <c r="F88" s="221"/>
      <c r="G88" s="221"/>
      <c r="H88" s="221"/>
    </row>
    <row r="89" spans="1:20" x14ac:dyDescent="0.3">
      <c r="A89" s="138"/>
      <c r="B89" s="207"/>
      <c r="C89" s="205"/>
      <c r="D89" s="205"/>
      <c r="E89" s="205"/>
      <c r="F89" s="221"/>
      <c r="G89" s="221"/>
      <c r="H89" s="221"/>
    </row>
    <row r="90" spans="1:20" x14ac:dyDescent="0.3">
      <c r="A90" s="138"/>
      <c r="B90" s="138"/>
    </row>
    <row r="91" spans="1:20" x14ac:dyDescent="0.3">
      <c r="A91" s="138"/>
      <c r="B91" s="138"/>
    </row>
    <row r="92" spans="1:20" x14ac:dyDescent="0.3">
      <c r="A92" s="138"/>
      <c r="B92" s="138"/>
    </row>
    <row r="93" spans="1:20" x14ac:dyDescent="0.3">
      <c r="A93" s="138"/>
      <c r="B93" s="138"/>
    </row>
    <row r="94" spans="1:20" x14ac:dyDescent="0.3">
      <c r="A94" s="138"/>
      <c r="B94" s="138"/>
    </row>
    <row r="95" spans="1:20" x14ac:dyDescent="0.3">
      <c r="A95" s="138"/>
      <c r="B95" s="138"/>
    </row>
    <row r="96" spans="1:20" x14ac:dyDescent="0.3">
      <c r="A96" s="138"/>
      <c r="B96" s="138"/>
    </row>
    <row r="97" spans="1:2" x14ac:dyDescent="0.3">
      <c r="A97" s="138"/>
      <c r="B97" s="138"/>
    </row>
    <row r="98" spans="1:2" x14ac:dyDescent="0.3">
      <c r="A98" s="138"/>
      <c r="B98" s="138"/>
    </row>
    <row r="99" spans="1:2" x14ac:dyDescent="0.3">
      <c r="A99" s="138"/>
      <c r="B99" s="138"/>
    </row>
    <row r="100" spans="1:2" x14ac:dyDescent="0.3">
      <c r="A100" s="138"/>
      <c r="B100" s="138"/>
    </row>
    <row r="101" spans="1:2" x14ac:dyDescent="0.3">
      <c r="A101" s="138"/>
      <c r="B101" s="138"/>
    </row>
    <row r="102" spans="1:2" x14ac:dyDescent="0.3">
      <c r="A102" s="138"/>
      <c r="B102" s="138"/>
    </row>
    <row r="103" spans="1:2" x14ac:dyDescent="0.3">
      <c r="A103" s="138"/>
      <c r="B103" s="138"/>
    </row>
    <row r="104" spans="1:2" x14ac:dyDescent="0.3">
      <c r="A104" s="138"/>
      <c r="B104" s="138"/>
    </row>
    <row r="105" spans="1:2" x14ac:dyDescent="0.3">
      <c r="A105" s="138"/>
      <c r="B105" s="138"/>
    </row>
    <row r="106" spans="1:2" x14ac:dyDescent="0.3">
      <c r="A106" s="138"/>
      <c r="B106" s="138"/>
    </row>
    <row r="107" spans="1:2" x14ac:dyDescent="0.3">
      <c r="A107" s="138"/>
      <c r="B107" s="138"/>
    </row>
    <row r="108" spans="1:2" x14ac:dyDescent="0.3">
      <c r="A108" s="138"/>
      <c r="B108" s="138"/>
    </row>
    <row r="109" spans="1:2" x14ac:dyDescent="0.3">
      <c r="A109" s="138"/>
      <c r="B109" s="138"/>
    </row>
    <row r="110" spans="1:2" x14ac:dyDescent="0.3">
      <c r="A110" s="138"/>
      <c r="B110" s="138"/>
    </row>
    <row r="111" spans="1:2" x14ac:dyDescent="0.3">
      <c r="A111" s="138"/>
      <c r="B111" s="138"/>
    </row>
    <row r="112" spans="1:2" x14ac:dyDescent="0.3">
      <c r="A112" s="138"/>
      <c r="B112" s="138"/>
    </row>
    <row r="113" spans="1:2" x14ac:dyDescent="0.3">
      <c r="A113" s="138"/>
      <c r="B113" s="138"/>
    </row>
    <row r="114" spans="1:2" x14ac:dyDescent="0.3">
      <c r="A114" s="138"/>
      <c r="B114" s="138"/>
    </row>
    <row r="115" spans="1:2" x14ac:dyDescent="0.3">
      <c r="A115" s="138"/>
      <c r="B115" s="138"/>
    </row>
    <row r="116" spans="1:2" x14ac:dyDescent="0.3">
      <c r="A116" s="138"/>
      <c r="B116" s="138"/>
    </row>
    <row r="117" spans="1:2" x14ac:dyDescent="0.3">
      <c r="A117" s="138"/>
      <c r="B117" s="138"/>
    </row>
    <row r="118" spans="1:2" x14ac:dyDescent="0.3">
      <c r="A118" s="138"/>
      <c r="B118" s="138"/>
    </row>
    <row r="119" spans="1:2" x14ac:dyDescent="0.3">
      <c r="A119" s="138"/>
      <c r="B119" s="138"/>
    </row>
    <row r="120" spans="1:2" x14ac:dyDescent="0.3">
      <c r="A120" s="138"/>
      <c r="B120" s="138"/>
    </row>
    <row r="121" spans="1:2" x14ac:dyDescent="0.3">
      <c r="A121" s="138"/>
      <c r="B121" s="138"/>
    </row>
    <row r="122" spans="1:2" x14ac:dyDescent="0.3">
      <c r="A122" s="138"/>
      <c r="B122" s="138"/>
    </row>
    <row r="123" spans="1:2" x14ac:dyDescent="0.3">
      <c r="A123" s="138"/>
      <c r="B123" s="138"/>
    </row>
    <row r="124" spans="1:2" x14ac:dyDescent="0.3">
      <c r="A124" s="138"/>
      <c r="B124" s="138"/>
    </row>
    <row r="125" spans="1:2" x14ac:dyDescent="0.3">
      <c r="A125" s="138"/>
      <c r="B125" s="138"/>
    </row>
    <row r="126" spans="1:2" x14ac:dyDescent="0.3">
      <c r="A126" s="138"/>
      <c r="B126" s="138"/>
    </row>
    <row r="127" spans="1:2" x14ac:dyDescent="0.3">
      <c r="A127" s="138"/>
      <c r="B127" s="138"/>
    </row>
    <row r="128" spans="1:2" x14ac:dyDescent="0.3">
      <c r="A128" s="138"/>
      <c r="B128" s="138"/>
    </row>
    <row r="129" spans="1:2" x14ac:dyDescent="0.3">
      <c r="A129" s="138"/>
      <c r="B129" s="138"/>
    </row>
    <row r="130" spans="1:2" x14ac:dyDescent="0.3">
      <c r="A130" s="138"/>
      <c r="B130" s="138"/>
    </row>
    <row r="131" spans="1:2" x14ac:dyDescent="0.3">
      <c r="A131" s="138"/>
      <c r="B131" s="138"/>
    </row>
    <row r="132" spans="1:2" x14ac:dyDescent="0.3">
      <c r="A132" s="138"/>
      <c r="B132" s="138"/>
    </row>
    <row r="133" spans="1:2" x14ac:dyDescent="0.3">
      <c r="A133" s="138"/>
      <c r="B133" s="138"/>
    </row>
    <row r="134" spans="1:2" x14ac:dyDescent="0.3">
      <c r="A134" s="138"/>
      <c r="B134" s="138"/>
    </row>
    <row r="135" spans="1:2" x14ac:dyDescent="0.3">
      <c r="A135" s="138"/>
      <c r="B135" s="138"/>
    </row>
    <row r="136" spans="1:2" x14ac:dyDescent="0.3">
      <c r="A136" s="138"/>
      <c r="B136" s="138"/>
    </row>
    <row r="137" spans="1:2" x14ac:dyDescent="0.3">
      <c r="A137" s="138"/>
      <c r="B137" s="138"/>
    </row>
    <row r="138" spans="1:2" x14ac:dyDescent="0.3">
      <c r="A138" s="138"/>
      <c r="B138" s="138"/>
    </row>
    <row r="139" spans="1:2" x14ac:dyDescent="0.3">
      <c r="A139" s="138"/>
      <c r="B139" s="138"/>
    </row>
    <row r="140" spans="1:2" x14ac:dyDescent="0.3">
      <c r="A140" s="138"/>
      <c r="B140" s="138"/>
    </row>
    <row r="141" spans="1:2" x14ac:dyDescent="0.3">
      <c r="A141" s="138"/>
      <c r="B141" s="138"/>
    </row>
    <row r="142" spans="1:2" x14ac:dyDescent="0.3">
      <c r="A142" s="138"/>
      <c r="B142" s="138"/>
    </row>
    <row r="143" spans="1:2" x14ac:dyDescent="0.3">
      <c r="A143" s="138"/>
      <c r="B143" s="138"/>
    </row>
    <row r="144" spans="1:2" x14ac:dyDescent="0.3">
      <c r="A144" s="138"/>
      <c r="B144" s="138"/>
    </row>
    <row r="145" spans="1:2" x14ac:dyDescent="0.3">
      <c r="A145" s="138"/>
      <c r="B145" s="138"/>
    </row>
    <row r="146" spans="1:2" x14ac:dyDescent="0.3">
      <c r="A146" s="138"/>
      <c r="B146" s="138"/>
    </row>
    <row r="147" spans="1:2" x14ac:dyDescent="0.3">
      <c r="A147" s="138"/>
      <c r="B147" s="138"/>
    </row>
    <row r="148" spans="1:2" x14ac:dyDescent="0.3">
      <c r="A148" s="138"/>
      <c r="B148" s="138"/>
    </row>
    <row r="149" spans="1:2" x14ac:dyDescent="0.3">
      <c r="A149" s="138"/>
      <c r="B149" s="138"/>
    </row>
    <row r="150" spans="1:2" x14ac:dyDescent="0.3">
      <c r="A150" s="138"/>
      <c r="B150" s="138"/>
    </row>
    <row r="151" spans="1:2" x14ac:dyDescent="0.3">
      <c r="A151" s="138"/>
      <c r="B151" s="138"/>
    </row>
    <row r="152" spans="1:2" x14ac:dyDescent="0.3">
      <c r="A152" s="138"/>
      <c r="B152" s="138"/>
    </row>
    <row r="153" spans="1:2" x14ac:dyDescent="0.3">
      <c r="A153" s="138"/>
      <c r="B153" s="138"/>
    </row>
    <row r="154" spans="1:2" x14ac:dyDescent="0.3">
      <c r="A154" s="138"/>
      <c r="B154" s="138"/>
    </row>
    <row r="155" spans="1:2" x14ac:dyDescent="0.3">
      <c r="A155" s="138"/>
      <c r="B155" s="138"/>
    </row>
    <row r="156" spans="1:2" x14ac:dyDescent="0.3">
      <c r="A156" s="138"/>
      <c r="B156" s="138"/>
    </row>
    <row r="157" spans="1:2" x14ac:dyDescent="0.3">
      <c r="A157" s="138"/>
      <c r="B157" s="138"/>
    </row>
    <row r="158" spans="1:2" x14ac:dyDescent="0.3">
      <c r="A158" s="138"/>
      <c r="B158" s="138"/>
    </row>
    <row r="159" spans="1:2" x14ac:dyDescent="0.3">
      <c r="A159" s="138"/>
      <c r="B159" s="138"/>
    </row>
    <row r="160" spans="1:2" x14ac:dyDescent="0.3">
      <c r="A160" s="138"/>
      <c r="B160" s="138"/>
    </row>
    <row r="161" spans="1:2" x14ac:dyDescent="0.3">
      <c r="A161" s="138"/>
      <c r="B161" s="138"/>
    </row>
    <row r="162" spans="1:2" x14ac:dyDescent="0.3">
      <c r="A162" s="138"/>
      <c r="B162" s="138"/>
    </row>
  </sheetData>
  <mergeCells count="2">
    <mergeCell ref="I2:K2"/>
    <mergeCell ref="N2:R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DF22F492AE8914D8B73C3E3C23F308D" ma:contentTypeVersion="28" ma:contentTypeDescription="Opret et nyt dokument." ma:contentTypeScope="" ma:versionID="7038ba0c97d74ba78a46ea5fb1ab7418">
  <xsd:schema xmlns:xsd="http://www.w3.org/2001/XMLSchema" xmlns:xs="http://www.w3.org/2001/XMLSchema" xmlns:p="http://schemas.microsoft.com/office/2006/metadata/properties" xmlns:ns1="http://schemas.microsoft.com/sharepoint/v3" xmlns:ns2="b1cfadd8-d294-4d34-bc36-10edd03a80b3" xmlns:ns3="57e246f5-a181-4ddd-bcfa-8f2bd33c0c9c" targetNamespace="http://schemas.microsoft.com/office/2006/metadata/properties" ma:root="true" ma:fieldsID="91df54bf965dc9754d60b2dcaf88e71c" ns1:_="" ns2:_="" ns3:_="">
    <xsd:import namespace="http://schemas.microsoft.com/sharepoint/v3"/>
    <xsd:import namespace="b1cfadd8-d294-4d34-bc36-10edd03a80b3"/>
    <xsd:import namespace="57e246f5-a181-4ddd-bcfa-8f2bd33c0c9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Filtype" minOccurs="0"/>
                <xsd:element ref="ns3:SharedWithUsers" minOccurs="0"/>
                <xsd:element ref="ns3:SharedWithDetails" minOccurs="0"/>
                <xsd:element ref="ns1:_ip_UnifiedCompliancePolicyProperties" minOccurs="0"/>
                <xsd:element ref="ns1:_ip_UnifiedCompliancePolicyUIActio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Egenskaber for Unified Compliance Policy" ma:hidden="true" ma:internalName="_ip_UnifiedCompliancePolicyProperties">
      <xsd:simpleType>
        <xsd:restriction base="dms:Note"/>
      </xsd:simpleType>
    </xsd:element>
    <xsd:element name="_ip_UnifiedCompliancePolicyUIAction" ma:index="21" nillable="true" ma:displayName="Handling for Unified Compliance Policy-grænseflad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cfadd8-d294-4d34-bc36-10edd03a80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description="" ma:indexed="true"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Filtype" ma:index="17" nillable="true" ma:displayName="Filtype" ma:format="Dropdown" ma:indexed="true" ma:internalName="Filtype">
      <xsd:simpleType>
        <xsd:restriction base="dms:Text">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Billedmærker" ma:readOnly="false" ma:fieldId="{5cf76f15-5ced-4ddc-b409-7134ff3c332f}" ma:taxonomyMulti="true" ma:sspId="fcff2bff-98dc-460d-973e-03f7511429f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7e246f5-a181-4ddd-bcfa-8f2bd33c0c9c"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t med detaljer" ma:internalName="SharedWithDetails" ma:readOnly="true">
      <xsd:simpleType>
        <xsd:restriction base="dms:Note">
          <xsd:maxLength value="255"/>
        </xsd:restriction>
      </xsd:simpleType>
    </xsd:element>
    <xsd:element name="TaxCatchAll" ma:index="26" nillable="true" ma:displayName="Taxonomy Catch All Column" ma:hidden="true" ma:list="{4651abdf-1673-48e2-821d-f5cd0b68c3fe}" ma:internalName="TaxCatchAll" ma:showField="CatchAllData" ma:web="57e246f5-a181-4ddd-bcfa-8f2bd33c0c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7e246f5-a181-4ddd-bcfa-8f2bd33c0c9c" xsi:nil="true"/>
    <_ip_UnifiedCompliancePolicyUIAction xmlns="http://schemas.microsoft.com/sharepoint/v3" xsi:nil="true"/>
    <lcf76f155ced4ddcb4097134ff3c332f xmlns="b1cfadd8-d294-4d34-bc36-10edd03a80b3">
      <Terms xmlns="http://schemas.microsoft.com/office/infopath/2007/PartnerControls"/>
    </lcf76f155ced4ddcb4097134ff3c332f>
    <Filtype xmlns="b1cfadd8-d294-4d34-bc36-10edd03a80b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7DBA7584-8D8E-4EF7-A462-43F465911601}"/>
</file>

<file path=customXml/itemProps2.xml><?xml version="1.0" encoding="utf-8"?>
<ds:datastoreItem xmlns:ds="http://schemas.openxmlformats.org/officeDocument/2006/customXml" ds:itemID="{25BF9214-4FD1-440A-BE24-B9B5E8A85037}"/>
</file>

<file path=customXml/itemProps3.xml><?xml version="1.0" encoding="utf-8"?>
<ds:datastoreItem xmlns:ds="http://schemas.openxmlformats.org/officeDocument/2006/customXml" ds:itemID="{CC7DD84E-8ACC-40C0-9B25-221750BD4C3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Forside</vt:lpstr>
      <vt:lpstr>Beskrivelse</vt:lpstr>
      <vt:lpstr>Optimering af klimaskærm</vt:lpstr>
      <vt:lpstr>Data</vt:lpstr>
      <vt:lpstr>VG beregner</vt:lpstr>
      <vt:lpstr>VG opslag</vt:lpstr>
      <vt:lpstr>Kalorifer</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Standardløsning Klimaskærm</dc:title>
  <dc:creator>Henrik Foldager</dc:creator>
  <cp:lastModifiedBy>Kalle Grøntved Jeppesen</cp:lastModifiedBy>
  <dcterms:created xsi:type="dcterms:W3CDTF">2022-08-17T08:09:08Z</dcterms:created>
  <dcterms:modified xsi:type="dcterms:W3CDTF">2023-04-12T09:56:16Z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0x010100BDF22F492AE8914D8B73C3E3C23F308D</vt:lpwstr>
  </property>
</Properties>
</file>